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24 - ślą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'24 - śląskie'!$A$1:$O$38</definedName>
    <definedName name="_xlnm.Print_Area" localSheetId="2">'gm podst'!$A$1:$X$90</definedName>
    <definedName name="_xlnm.Print_Titles" localSheetId="2">'gm podst'!$1:$2</definedName>
    <definedName name="_xlnm.Print_Area" localSheetId="4">'gm rez'!$A$1:$X$72</definedName>
    <definedName name="_xlnm.Print_Titles" localSheetId="4">'gm rez'!$1:$2</definedName>
    <definedName name="_xlnm.Print_Area" localSheetId="1">'pow podst'!$A$1:$W$47</definedName>
    <definedName name="_xlnm.Print_Titles" localSheetId="1">'pow podst'!$1:$2</definedName>
    <definedName name="_xlnm.Print_Area" localSheetId="3">'pow rez'!$A$1:$W$24</definedName>
    <definedName name="_xlnm.Print_Titles" localSheetId="3">'pow rez'!$1:$2</definedName>
    <definedName name="Excel_BuiltIn__FilterDatabase" localSheetId="4">'gm rez'!$A$1:$AB$73</definedName>
  </definedNames>
  <calcPr fullCalcOnLoad="1"/>
</workbook>
</file>

<file path=xl/sharedStrings.xml><?xml version="1.0" encoding="utf-8"?>
<sst xmlns="http://schemas.openxmlformats.org/spreadsheetml/2006/main" count="1595" uniqueCount="767">
  <si>
    <t>Lista zadań rekomendowanych do dofinansowania w ramach Rządowego Funduszu Rozwoju Dróg</t>
  </si>
  <si>
    <t>ZATWIERDZAM
……………………………………………………………..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</si>
  <si>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na rok 2022</t>
    </r>
  </si>
  <si>
    <r>
      <t xml:space="preserve">Województwo: </t>
    </r>
    <r>
      <rPr>
        <sz val="10"/>
        <color indexed="10"/>
        <rFont val="Times New Roman"/>
        <family val="1"/>
      </rPr>
      <t xml:space="preserve"> Śląskie</t>
    </r>
  </si>
  <si>
    <t>Podsumowanie naboru:</t>
  </si>
  <si>
    <t>Kategoria drogi - rodzaj listy</t>
  </si>
  <si>
    <t>Liczba zadań</t>
  </si>
  <si>
    <t>Wartość zadań ogółem</t>
  </si>
  <si>
    <t>Deklarowana kwota środków własnych</t>
  </si>
  <si>
    <t>Kwota dofinasowania ogółem</t>
  </si>
  <si>
    <t>Kwota dofinansowania w podziale na lata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</si>
  <si>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</si>
  <si>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</si>
  <si>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</si>
  <si>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</si>
  <si>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</si>
  <si>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</si>
  <si>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powiatowe - lista rezerwowa</t>
  </si>
  <si>
    <t>gminne - lista rezerwowa</t>
  </si>
  <si>
    <t>RAZEM listy rezerwowe, z tego:</t>
  </si>
  <si>
    <t>RAZEM listy, z tego:</t>
  </si>
  <si>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</si>
  <si>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</si>
  <si>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</si>
  <si>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</si>
  <si>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</si>
  <si>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</si>
  <si>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</si>
  <si>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</si>
  <si>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</si>
  <si>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</si>
  <si>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</si>
  <si>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</si>
  <si>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</si>
  <si>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spr-lata</t>
  </si>
  <si>
    <t>spr-procent</t>
  </si>
  <si>
    <t>spr-dof</t>
  </si>
  <si>
    <t>spr-montaż</t>
  </si>
  <si>
    <t>152/19</t>
  </si>
  <si>
    <t>K</t>
  </si>
  <si>
    <t>POWIAT CZĘSTOCHOWSKI</t>
  </si>
  <si>
    <t>Przebudowa ciągu dróg powiatowych nr 1070 S Kłomnice-Kruszyna, nr 1025 S Kruszyna-Borowno i nr 1019 S Borowno-Witkowice, gmina Kłomnice, Kruszyna i Mykanów</t>
  </si>
  <si>
    <t>P</t>
  </si>
  <si>
    <t>wrzesień 2019 - sierpień 2022</t>
  </si>
  <si>
    <t>150/19</t>
  </si>
  <si>
    <t>Przebudowa ciągu dróg powiatowych nr 1057 S na odc. Huta Stara A - Poczesna i nr 1056 S na odc. Mazury - Młynek, gmina Poczesna</t>
  </si>
  <si>
    <t>sierpień 2019 - sierpień 2022</t>
  </si>
  <si>
    <t>177/19</t>
  </si>
  <si>
    <t>MIASTO CHORZÓW</t>
  </si>
  <si>
    <t>Przebudowa ulicy 3 Maja w Chorzowie</t>
  </si>
  <si>
    <t>sierpień 2019 - czerwiec 2022</t>
  </si>
  <si>
    <t>210/19</t>
  </si>
  <si>
    <t>MIASTO JAWORZNO</t>
  </si>
  <si>
    <t>2468</t>
  </si>
  <si>
    <t>Przebudowa ul. Martyniaków 6809 S w Jaworznie</t>
  </si>
  <si>
    <t>styczeń 2020 - październik 2022</t>
  </si>
  <si>
    <t>262/19</t>
  </si>
  <si>
    <t>MIASTO JASTRZĘBIE - ZDRÓJ</t>
  </si>
  <si>
    <t>Rozbudowa odcinka al. Piłsudskiego wraz ze skrzyżowaniem oraz budowa wiaduktu w Jastrzębiu - Zdroju</t>
  </si>
  <si>
    <t>B</t>
  </si>
  <si>
    <t>sierpień 2020 - październik 2022</t>
  </si>
  <si>
    <t>240/19</t>
  </si>
  <si>
    <t>POWIAT PSZCZYŃSKI</t>
  </si>
  <si>
    <t>Przebudowa dróg powiatowych 4149S tj. ul. Szkolnej w Porębie i ul. Porębskiej w Radostowicach</t>
  </si>
  <si>
    <t>czerwiec 2020 - maj 2022</t>
  </si>
  <si>
    <t>310/19</t>
  </si>
  <si>
    <t>MIASTO MYSŁOWICE</t>
  </si>
  <si>
    <t>Przebudowa ul. 3 Maja w Mysłowicach od ul. Laryskiej do ul. Dzierżonia i Orła Białego</t>
  </si>
  <si>
    <t>lipiec 2020 - listopad 2022</t>
  </si>
  <si>
    <t>447/20</t>
  </si>
  <si>
    <t>MIASTO ŚWIĘTOCHŁOWICE</t>
  </si>
  <si>
    <t>Przebudowa układu komunikacyjnego w ciągu ul. Łagiewnickiej w Świętochłowicach wraz z przebudową infrastruktury tramwajowej</t>
  </si>
  <si>
    <t>czerwiec 2021 - październik 2023</t>
  </si>
  <si>
    <t>413/20</t>
  </si>
  <si>
    <t>POWIAT MYSZKOWSKI</t>
  </si>
  <si>
    <t>Przebudowa wiaduktu drogowego w ciągu drogi powiatowej nr 1713 S w km 6+517 nad torami PKP w m. Kotowice oraz chodnika</t>
  </si>
  <si>
    <t>kwiecień 2021 - marzec 2022</t>
  </si>
  <si>
    <t>547/20</t>
  </si>
  <si>
    <t>Przebudowa drogi powiatowej nr 1093 S na odc. Czepurka - Piasek, Gmina Janów</t>
  </si>
  <si>
    <t>kwiecień 2021 - październik  2022</t>
  </si>
  <si>
    <t>481/20</t>
  </si>
  <si>
    <t>MIASTO CZĘSTOCHOWA</t>
  </si>
  <si>
    <t>Rozbudowa ul. Jesiennej od ul. Rydza-Śmigłego do Al. 11-go Listopada w Częstochowie</t>
  </si>
  <si>
    <t>sierpień 2021 - maja 2023</t>
  </si>
  <si>
    <t>502/20</t>
  </si>
  <si>
    <t>POWIAT TARNOGÓRSKI</t>
  </si>
  <si>
    <t>Remont DP2901S i DP2902S na terenie gminy Tworóg i Zbrosławice wraz z przebudową w zakresie budowy elementów uspokojenia ruchu na wlotach do terenów zabudowy</t>
  </si>
  <si>
    <t>R</t>
  </si>
  <si>
    <t>maj 2021 - listopad 2022</t>
  </si>
  <si>
    <t>436/20</t>
  </si>
  <si>
    <t>POWIAT GLIWICKI</t>
  </si>
  <si>
    <t>Przebudowa i remont drogi powiatowej Nr 2901S i 2902S na terenie Gminy Wielowieś</t>
  </si>
  <si>
    <t>wrzesień 2021 - październik 2022</t>
  </si>
  <si>
    <t>517/20</t>
  </si>
  <si>
    <t xml:space="preserve">POWIAT BIELSKI
</t>
  </si>
  <si>
    <t>Przebudowa drogi powiatowej 4424 S na długości 3459 mb w miejscowości Rudzica - Międzyrzecze Dolne - Międzyrzecze Górne</t>
  </si>
  <si>
    <t>czerwiec 2021 - kwiecień 2023</t>
  </si>
  <si>
    <t>514/20</t>
  </si>
  <si>
    <t xml:space="preserve">POWIAT PSZCZYŃSKI
</t>
  </si>
  <si>
    <t xml:space="preserve">Przebudowa drogi powiatowej nr 4103S tj. ul. Pawiej w Wiśle Małej i ul. Jedności w Studzionce - etap II </t>
  </si>
  <si>
    <t>wrzesień 2021 - sierpień 2023</t>
  </si>
  <si>
    <t>431/20</t>
  </si>
  <si>
    <t xml:space="preserve">POWIAT WODZISŁAWSKI
</t>
  </si>
  <si>
    <t>Przebudowa drogi powiatowej nr 3512S (ul. Raciborska) Bełsznica-Rogów</t>
  </si>
  <si>
    <t>październik 2021 - lipiec 2023</t>
  </si>
  <si>
    <t>516/20</t>
  </si>
  <si>
    <t>POWIAT BIELSKI</t>
  </si>
  <si>
    <t>Przebudowa ciągu dróg powiatowych 4489 S oraz 4488 S na długości 2415 mb w Dankowicach i Starej Wsi</t>
  </si>
  <si>
    <t>listopad 2021 - styczeń 2023</t>
  </si>
  <si>
    <t>742/21</t>
  </si>
  <si>
    <t>W</t>
  </si>
  <si>
    <t>Przebudowa drogi powiatowej nr 4441S Czechowice-Dziedzice-Kaniów, na długości 492 mb w Czechowicach Dziedzicach</t>
  </si>
  <si>
    <t>lipiec 2022-październik 2023</t>
  </si>
  <si>
    <t>804/21</t>
  </si>
  <si>
    <t>Przebudowa drogi powiatowej nr 4156S tj. ul. Piaskowej w Suszcu</t>
  </si>
  <si>
    <t>marzec 2022-październik 2024</t>
  </si>
  <si>
    <t>783/21</t>
  </si>
  <si>
    <t>N</t>
  </si>
  <si>
    <t>POWIAT CIESZYŃSKI</t>
  </si>
  <si>
    <t>Rozbudowa drogi powiatowej nr 2602S Brenna - Skoczów, ul. Breńska w Górkach Małych wraz z odcinkowym remontem na dowiązaniu</t>
  </si>
  <si>
    <t>marzec 2022-grudzień 2022</t>
  </si>
  <si>
    <t>808/21</t>
  </si>
  <si>
    <t>POWIAT ŻYWIECKI</t>
  </si>
  <si>
    <t>Przebudowa drogi wraz z budową chodnika dla pieszych w ciągu drogi powiatowej 1415 S Pewel Mała-Pewel Ślemieńska-Ślemień na odcinku w km 0+600 do km 1+600 w miejscowości Pewel Mała</t>
  </si>
  <si>
    <t>styczeń 2022-listopad 2022</t>
  </si>
  <si>
    <t>721/21</t>
  </si>
  <si>
    <t>Przebudowa drogi powiatowej nr 3809S Przybynów - Zaborze</t>
  </si>
  <si>
    <t>722/21</t>
  </si>
  <si>
    <t>Remont DP 1014 S na odcinku od m. Postaszowice do m. Niegowa</t>
  </si>
  <si>
    <t>782/21</t>
  </si>
  <si>
    <t>Przebudowa DP3224S ulica Mikulczycka w Świętoszowicach</t>
  </si>
  <si>
    <t>sierpień 2022-lipiec 2023</t>
  </si>
  <si>
    <t>798/21</t>
  </si>
  <si>
    <t>Remont drogi powiatowej Nr 2905S ul. Wyzwolenia w Pyskowicach</t>
  </si>
  <si>
    <t>maj 2022-wrzesień 2022</t>
  </si>
  <si>
    <t>800/21</t>
  </si>
  <si>
    <t>MIASTO ŻORY</t>
  </si>
  <si>
    <t xml:space="preserve">Zaprojektowanie i przebudowa drogi ul. Mikołowskiej  w Żorach wraz z budową i przebudową infrastruktury drogowej </t>
  </si>
  <si>
    <t>sierpień 2022-grudzień 2023</t>
  </si>
  <si>
    <t>815/21</t>
  </si>
  <si>
    <t xml:space="preserve">POWIAT RACIBORSKI </t>
  </si>
  <si>
    <t>Przebudowa drogi powiatowej nr 3506S na odcinku od skrzyżowania z DW 916 do skrzyżowania z DP 3528S w Krzanowicach oraz remont od skrzyżowania z DP 3528S do skrzyżowania z DW 917 i przebudowa drogi powiatowej nr 3529 S na odcinku od DK 45 w Tworkowie do początku obszaru zabudowanego Borucina</t>
  </si>
  <si>
    <t>maj 2022-maj 2024</t>
  </si>
  <si>
    <t>748/21</t>
  </si>
  <si>
    <t>MIASTO JASTRZĘBIE ZDRÓJ</t>
  </si>
  <si>
    <t>Rozbudowa i przebudowa ulicy Wyzwolenia (7814S) w Jastrzębiu-Zdroju - od skrzyżowania z ul. Żwirki i Wigury do skrzyżowania z ul. Przemysłową</t>
  </si>
  <si>
    <t>styczeń 2022-grudzień 2022</t>
  </si>
  <si>
    <t>703/21</t>
  </si>
  <si>
    <t>POWIAT RYBNICKI</t>
  </si>
  <si>
    <t>Przebudowa odcinka drogi powiatowej 5026S w Piecach, od skrzyżowania z ulicą Krzywą do granicy miasta Rydułtowy</t>
  </si>
  <si>
    <t>kwiecień 2022-listopad 2022</t>
  </si>
  <si>
    <t>819/21</t>
  </si>
  <si>
    <t>POWIAT BIERUŃSKO-LĘDZIŃSKI</t>
  </si>
  <si>
    <t>Przebudowa skrzyżowania drogi powiatowej 5918S, ul. Nowozachęty z drogą gminną ul. Wandy w Imielinie</t>
  </si>
  <si>
    <t>kwiecień 2022-październik 2022</t>
  </si>
  <si>
    <t>790/21</t>
  </si>
  <si>
    <t>Przebudowa ulicy Długiej w Mysłowicach - etap I</t>
  </si>
  <si>
    <t>p</t>
  </si>
  <si>
    <t>kwiecień 2022-listopad 2023</t>
  </si>
  <si>
    <t>827/21</t>
  </si>
  <si>
    <t>POWIAT BĘDZIŃSKI</t>
  </si>
  <si>
    <t>Przebudowa drogi powiatowej 4740S (ul. Cisowa) i 4739 S (ul. Jagodowa) w Brudzowicach</t>
  </si>
  <si>
    <t>marzec 2022-luty 2023</t>
  </si>
  <si>
    <t>838/21</t>
  </si>
  <si>
    <t>MIASTO DĄBROWA GÓRNICZA</t>
  </si>
  <si>
    <t>Przebudowa pasa drogowego ulicy Staszica i Oddziału A.K. Ordona w Dąbrowie Górniczej</t>
  </si>
  <si>
    <t>lipiec 2022-grudzień 2023</t>
  </si>
  <si>
    <t>821/21</t>
  </si>
  <si>
    <t>POWIAT ZAWIERCIAŃSKI</t>
  </si>
  <si>
    <t>Przebudowa dróg powiatowych nr 1767 S i 1776 S w miejscowościach Wólka Ołudzka, Jeziorowice, Otola, Wola Libertowska i Żarnowiec</t>
  </si>
  <si>
    <t>czerwiec 2022-październik 2023</t>
  </si>
  <si>
    <t>818/21</t>
  </si>
  <si>
    <t>Rozbudowa drogi powiatowej 5904S, ul. Jagiellońskiej i ul. Lipowej w Lędzinach w zakresie budowy ciągu pieszo-rowerowego</t>
  </si>
  <si>
    <t>773/21</t>
  </si>
  <si>
    <t>MIASTO SIEMIANOWICE ŚLĄSKIE</t>
  </si>
  <si>
    <t>Remont drogi powiatowej nr 9645S (ul. Chemiczna) wraz z budową chodnika w Siemianowicach Śląskich</t>
  </si>
  <si>
    <t>sierpień 2022-listopad 2022</t>
  </si>
  <si>
    <t>RAZEM, z tego:</t>
  </si>
  <si>
    <t>x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</si>
  <si>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</si>
  <si>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</si>
  <si>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</si>
  <si>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Powiat</t>
  </si>
  <si>
    <t>Wnioskowana kwota dofinansowania
 (w zł)</t>
  </si>
  <si>
    <t>21/19</t>
  </si>
  <si>
    <t>GMINA MIEDŹNO</t>
  </si>
  <si>
    <t>kłobucki</t>
  </si>
  <si>
    <t>Rozbudowa drogi gminnej nr 656026S ul. Dębowa, nr 656026S ul. Sosnowa, nr 656025S ul. Ogrodowa, nr 656025S ul. Polna w miejscowości Miedźno</t>
  </si>
  <si>
    <t>wrzesień 2019 - czerwiec 2022</t>
  </si>
  <si>
    <t>153/19</t>
  </si>
  <si>
    <t>GMINA GODÓW</t>
  </si>
  <si>
    <t>wodzisławski</t>
  </si>
  <si>
    <t>Przebudowa dróg gminnych w jednym ciągu nr 605 019S, 605 023S ul. Graniczna i Poprzeczna w Gminie Godów (sołectwa Skrbeńsko i Gołkowice) o łącznej długości 1758 mb.</t>
  </si>
  <si>
    <t>październik 2019 - czerwiec 2022</t>
  </si>
  <si>
    <t>91/19</t>
  </si>
  <si>
    <t>GMINA PORĄBKA</t>
  </si>
  <si>
    <t>bielski</t>
  </si>
  <si>
    <t>Przebudowa drogi gminnej publicznej nr 594 273 S ul. Szkolna w Bujakowie wraz z budową chodnika dla pieszych - etap 2 w km od 0+241 do km 0+663</t>
  </si>
  <si>
    <t>październik 2019 - listopad 2022</t>
  </si>
  <si>
    <t>246/19</t>
  </si>
  <si>
    <t>GMINA PSZÓW</t>
  </si>
  <si>
    <t>Remont ulicy Żużlowej w Pszowie</t>
  </si>
  <si>
    <t>styczeń 2020 - grudzień 2022</t>
  </si>
  <si>
    <t>220/19</t>
  </si>
  <si>
    <t>GMINA MIKOŁÓW</t>
  </si>
  <si>
    <t>mikołowski</t>
  </si>
  <si>
    <t>System transportu niskoemisyjnego - przebudowa węzła ulic Prusa - Miarki w kierunku Rybnicka, Wyzwolenia w Mikołowie - część II - etap IV</t>
  </si>
  <si>
    <t>październik 2020 - listopad 2022</t>
  </si>
  <si>
    <t>202/19</t>
  </si>
  <si>
    <t>GMINA ŻARKI</t>
  </si>
  <si>
    <t>myszkowski</t>
  </si>
  <si>
    <t>Budowa i przebudowa dróg - ul. Jagodowej i Młyńskiej w Żarkach</t>
  </si>
  <si>
    <t>grudzień 2020 - czerwiec 2022</t>
  </si>
  <si>
    <t>469/20</t>
  </si>
  <si>
    <t>GMINA GOLESZÓW</t>
  </si>
  <si>
    <t>2403072</t>
  </si>
  <si>
    <t>cieszyński</t>
  </si>
  <si>
    <t>Rozbudowa ul. Kojkowickiej w Puńcowie na odcinku 1,7 km wraz z przebudową mostu</t>
  </si>
  <si>
    <t>marzec 2021 - styczeń 2025</t>
  </si>
  <si>
    <t>560/20</t>
  </si>
  <si>
    <t>GMINA MYKANÓW</t>
  </si>
  <si>
    <t>2404112</t>
  </si>
  <si>
    <t>częstochowski</t>
  </si>
  <si>
    <t>Rozbudowa dróg gminnych nr 599 023S (ul. Wesoła w Radostkowie Koloni, ul. Zielona i ul. Samorządowa w Mykanowie) oraz 599 034S (ul. Samorządowa w Mykanowie)</t>
  </si>
  <si>
    <t>marzec 2021 - październik 2022</t>
  </si>
  <si>
    <t>503/20</t>
  </si>
  <si>
    <t>GMINA BOBROWNIKI</t>
  </si>
  <si>
    <t>2401042</t>
  </si>
  <si>
    <t>będziński</t>
  </si>
  <si>
    <t>Przebudowa drogi gminnej na ul. Sienkiewicza w Dobieszowicach</t>
  </si>
  <si>
    <t>wrzesień 2021 - listopad 2022</t>
  </si>
  <si>
    <t>477/20</t>
  </si>
  <si>
    <t>GMINA RACIBÓRZ</t>
  </si>
  <si>
    <t>2411011</t>
  </si>
  <si>
    <t>raciborski</t>
  </si>
  <si>
    <t>Przebudowa ul. Cecylii i ul. Marii Rodziewiczówny w Raciborzu</t>
  </si>
  <si>
    <t>maj 2021 - październik 2022</t>
  </si>
  <si>
    <t>549/20</t>
  </si>
  <si>
    <t xml:space="preserve">GMINA TARNOWSKIE GÓRY </t>
  </si>
  <si>
    <t>2413041</t>
  </si>
  <si>
    <t>tarnogórski</t>
  </si>
  <si>
    <t xml:space="preserve">Rozbudowa układu drogowego w rejonie ulic Królika, Szymały, Rymera w Tarnowskich Górach - etap C i D </t>
  </si>
  <si>
    <t>marzec 2021 - listopad 2022</t>
  </si>
  <si>
    <t>559/20</t>
  </si>
  <si>
    <t>2415052</t>
  </si>
  <si>
    <t>Budowa  drogi - połączenia ulicy Szybowej z Olszyńską w Gminie Godów - odcinek 594 mb.</t>
  </si>
  <si>
    <t>lipiec 2021 - wrzesień 2023</t>
  </si>
  <si>
    <t>579/20</t>
  </si>
  <si>
    <t>MIASTO SOSNOWIEC</t>
  </si>
  <si>
    <t>2475011</t>
  </si>
  <si>
    <t>Sosnowiec</t>
  </si>
  <si>
    <t xml:space="preserve">Rozbudowa ul. G. Zapolskiej w Sosnowcu od skrzyżowania z ul. Hubala-Dobrzańskiego do zjazdu do Centrum Pediatrii im. Jana Pawła II wraz z realizacją zespołu parkingów w celu poprawy dostępności do Centrum Pediatrii im. Jana Pawła II w Sosnowcu </t>
  </si>
  <si>
    <t>sierpień 2021 - lipiec 2022</t>
  </si>
  <si>
    <t>562/20</t>
  </si>
  <si>
    <t>MIASTO BYTOM</t>
  </si>
  <si>
    <t>2462011</t>
  </si>
  <si>
    <t>Bytom</t>
  </si>
  <si>
    <t>Przebudowa ulic Nawrota i Smolenia</t>
  </si>
  <si>
    <t>sierpień 2021 - listopad 2022</t>
  </si>
  <si>
    <t>478/20</t>
  </si>
  <si>
    <t>Przebudowa ul. Bema w Raciborzu</t>
  </si>
  <si>
    <t>501/20</t>
  </si>
  <si>
    <t>GMINA RADZIONKÓW</t>
  </si>
  <si>
    <t>2413031</t>
  </si>
  <si>
    <t>Przebudowa ul. M.Dąbrowskiej w Radzionkowie (na odcinku od skrzyżowania z ul. Wspólną do skrzyżowania z ul. N.Żołnierza)</t>
  </si>
  <si>
    <t>lipiec 2021 - grudzień 2022</t>
  </si>
  <si>
    <t>446/20</t>
  </si>
  <si>
    <t xml:space="preserve">MIASTO ŚWIĘTOCHŁOWICE </t>
  </si>
  <si>
    <t>Świętochłowice</t>
  </si>
  <si>
    <t>Przebudowa wraz z rozbudową układu komunikacyjnego ul. Przemysłowej (wewnętrznej) wraz z połączeniem do drogi wojewódzkiej DW902 (DTŚ)</t>
  </si>
  <si>
    <t>lipiec 2021 - lipiec 2023</t>
  </si>
  <si>
    <t>419/20</t>
  </si>
  <si>
    <t>2406042</t>
  </si>
  <si>
    <t>Rozbudowa dróg gminnych: 656040 S ul. Głównej, ul. ks. A. Morawca, 656044 S ul. Wesołej, ul. Nadrzecznej, 656040 S. ul. Sosnowej, 656041 S ul. Dębowej i Brzozowej w miejscowości Borowa gm. Miedźno</t>
  </si>
  <si>
    <t>grudzień 2021 - wrzesień 2026</t>
  </si>
  <si>
    <t>406/20</t>
  </si>
  <si>
    <t xml:space="preserve">GMINA SIEWIERZ </t>
  </si>
  <si>
    <t>2401073</t>
  </si>
  <si>
    <t>Przebudowa drogi gminnej numer 608101S na ulicy Radosnej i Szerokiej w Tuliszowie w Gminie Siewierz</t>
  </si>
  <si>
    <t>grudzień 2021 - grudzień 2022</t>
  </si>
  <si>
    <t>582/20</t>
  </si>
  <si>
    <t xml:space="preserve">GMINA PAWONKÓW </t>
  </si>
  <si>
    <t>2407072</t>
  </si>
  <si>
    <t>lubliniecki</t>
  </si>
  <si>
    <t>Przebudowa dróg gminnych - ulicy Dębowej, Kanuskiej, Wiejskiej i Granicznej w Łagiewnikach Wielkich i Dralinach</t>
  </si>
  <si>
    <t>grudzień 2021 - maj 2023</t>
  </si>
  <si>
    <t>430/20</t>
  </si>
  <si>
    <t>Rozbudowa drogi gminnej numer 608008S ulicy Chabrowej w Siewierzu</t>
  </si>
  <si>
    <t>grudzień 2021 - czerwiec 2023</t>
  </si>
  <si>
    <t>482/20</t>
  </si>
  <si>
    <t>MIASTO BIELSKO-BIAŁA</t>
  </si>
  <si>
    <t>2461011</t>
  </si>
  <si>
    <t>Bielsko-Biała</t>
  </si>
  <si>
    <t>Rozbudowa ul. Łowieckiej w Bielsku-Białej</t>
  </si>
  <si>
    <t>449/20</t>
  </si>
  <si>
    <t xml:space="preserve">GMINA BĘDZIN </t>
  </si>
  <si>
    <t>2401011</t>
  </si>
  <si>
    <t>Budowa układu komunikacyjnego i infrastruktury technicznej w rejonie ul. Gzichowskiej w Będzinie</t>
  </si>
  <si>
    <t>styczeń 2021 - luty 2023</t>
  </si>
  <si>
    <t>717/21</t>
  </si>
  <si>
    <t>GMINA STRUMIEŃ</t>
  </si>
  <si>
    <t>2403113</t>
  </si>
  <si>
    <t>Przebudowa drogi gminnej nr 611114S ulicy Spokojnej w Drogomyślu</t>
  </si>
  <si>
    <t>806/21</t>
  </si>
  <si>
    <t>GMINA WILKOWICE</t>
  </si>
  <si>
    <t>2402102</t>
  </si>
  <si>
    <t>Przebudowa dróg gminnych Wiśniowej i Ornej w Bystrej</t>
  </si>
  <si>
    <t>730/21</t>
  </si>
  <si>
    <t>GMINA ŁĘKAWICA</t>
  </si>
  <si>
    <t>2417072</t>
  </si>
  <si>
    <t>żywiecki</t>
  </si>
  <si>
    <t>Remont drogi gminnej nr 698001 S ul. Za Wodą w Łękawicy</t>
  </si>
  <si>
    <t>czerwiec 2022-październik 2022</t>
  </si>
  <si>
    <t>831/21</t>
  </si>
  <si>
    <t>GMINA WILAMOWICE</t>
  </si>
  <si>
    <t>2402093</t>
  </si>
  <si>
    <t>Przebudowa drogi gminnej ul. Pięknej w Pisarzowicach i Hecznarowicach</t>
  </si>
  <si>
    <t>czerwiec 2022-maj 2023</t>
  </si>
  <si>
    <t>745/21</t>
  </si>
  <si>
    <t>GMINA LIPOWA</t>
  </si>
  <si>
    <t>2417062</t>
  </si>
  <si>
    <t>Remont drogi gminnej nr 640 008S w miejscowości Lipowa</t>
  </si>
  <si>
    <t>maj 2022-sierpień 2022</t>
  </si>
  <si>
    <t>728/21</t>
  </si>
  <si>
    <t>GMINA ŻYWIEC</t>
  </si>
  <si>
    <t>2417011</t>
  </si>
  <si>
    <t>Remont ul. Na Oklu w Żywcu</t>
  </si>
  <si>
    <t>760/21</t>
  </si>
  <si>
    <t>GMINA SKOCZÓW</t>
  </si>
  <si>
    <t>2403103</t>
  </si>
  <si>
    <t>Przebudowa ulic Podkępie i Łęgowej w Skoczowie</t>
  </si>
  <si>
    <t>822/21</t>
  </si>
  <si>
    <t>Przebudowa Alei Młyńskiej w Dankowicach</t>
  </si>
  <si>
    <t>813/21</t>
  </si>
  <si>
    <t>GMINA WĘGIERSKA GÓRKA</t>
  </si>
  <si>
    <t>2417152</t>
  </si>
  <si>
    <t>Przebudowa układu drogowego wraz z obiektem mostowym 596084S w Ciścu poprawiającego skomunikowanie dróg krajowych i powiatowych</t>
  </si>
  <si>
    <t>lipiec 2022-czerwiec 2023</t>
  </si>
  <si>
    <t>743/21</t>
  </si>
  <si>
    <t>GMINA BESTWINA</t>
  </si>
  <si>
    <t>2402022</t>
  </si>
  <si>
    <t>Przebudowa ul. Sportowej w Bestwince</t>
  </si>
  <si>
    <t>kwiecień 2022-wrzesień 2023</t>
  </si>
  <si>
    <t>736/21</t>
  </si>
  <si>
    <t>GMINA KONOPISKA</t>
  </si>
  <si>
    <t>2404072</t>
  </si>
  <si>
    <t>Budowa drogi gminnej ul. Szmaragdowej w Konopiskach, gmina Konopiska</t>
  </si>
  <si>
    <t>maj 2022-kwiecień 2023</t>
  </si>
  <si>
    <t>850/21</t>
  </si>
  <si>
    <t>GMINA KONIECPOL</t>
  </si>
  <si>
    <t>2404063</t>
  </si>
  <si>
    <t>Przebudowa i rozbudowa drogi gminnej - ul. Szkolnej w Koniecpolu</t>
  </si>
  <si>
    <t>czerwiec 2022-wrzesień 2023</t>
  </si>
  <si>
    <t>768/21</t>
  </si>
  <si>
    <t>Przebudowa dróg gminnych - ul. Dębowej w Łagiewnikach Wielkich, ul. Kanuskiej, Parkowej w Dralinach, ul. Mickiewicza w Lisowicach</t>
  </si>
  <si>
    <t>maj 2022-październik 2023</t>
  </si>
  <si>
    <t>792/21</t>
  </si>
  <si>
    <t>GMINA MYSZKÓW</t>
  </si>
  <si>
    <t>2409011</t>
  </si>
  <si>
    <t>Rozbudowa drogi w ulicy Zamenhoffa wraz z budową kanalizacji sanitarnej i deszczowej w Myszkowie</t>
  </si>
  <si>
    <t>marzec 2022-listopad 2023</t>
  </si>
  <si>
    <t>701/21</t>
  </si>
  <si>
    <t>GMINA POPÓW</t>
  </si>
  <si>
    <t>Rozbudowa ulicy Turystycznej i Sosnowej w miejscowości Zawady, gmina Popów</t>
  </si>
  <si>
    <t>styczeń 2022-grudzień 2023</t>
  </si>
  <si>
    <t>716/21</t>
  </si>
  <si>
    <t>GMINA POCZESNA</t>
  </si>
  <si>
    <t>2404132</t>
  </si>
  <si>
    <t>Przebudowa drogi gminnej ulicy Szkolnej w miejscowości Kolonia Poczesna, gmina Poczesna</t>
  </si>
  <si>
    <t>marzec 2022-listopad 2022</t>
  </si>
  <si>
    <t>733/21</t>
  </si>
  <si>
    <t>GMINA NIEGOWA</t>
  </si>
  <si>
    <t>2409032</t>
  </si>
  <si>
    <t>Przebudowa i rozbudowa drogi gminnej nr 680024 S w miejscowości Mzurów wraz z rozbudową oświetlenia ulicznego</t>
  </si>
  <si>
    <t>maj 2022-listopad 2022</t>
  </si>
  <si>
    <t>832/21</t>
  </si>
  <si>
    <t>GMINA PRZYRÓW</t>
  </si>
  <si>
    <t>2404142</t>
  </si>
  <si>
    <t>Przebudowa mostu nad rzeką Wiercica w ciągu ul. Częstochowskiej w Przyrowie</t>
  </si>
  <si>
    <t>780/21</t>
  </si>
  <si>
    <t>GMINA KOZIEGŁOWY</t>
  </si>
  <si>
    <t>2409023</t>
  </si>
  <si>
    <t>Przebudowa drogi gminnej nr 595006S ul. Graniczna w m. Cynków</t>
  </si>
  <si>
    <t>marzec 2022-październik 2022</t>
  </si>
  <si>
    <t>755/21</t>
  </si>
  <si>
    <t>Budowa drogi w kompleksie mieszkaniowym przy ul. Drozdów w Bobrownikach</t>
  </si>
  <si>
    <t>702/21</t>
  </si>
  <si>
    <t>Rozbudowa drogi gminnej w miejscowości Antonie</t>
  </si>
  <si>
    <t>luty 2022-grudzień 2022</t>
  </si>
  <si>
    <t>720/21</t>
  </si>
  <si>
    <t>GMINA BLACHOWNIA</t>
  </si>
  <si>
    <t>2404013</t>
  </si>
  <si>
    <t>Przebudowa ulicy Herbskiej w Cisiu, gmina Blachownia</t>
  </si>
  <si>
    <t>715/21</t>
  </si>
  <si>
    <t>Przebudowa drogi gminnej ulicy Kasprowicza w miejscowości Mazury, gmina Poczesna</t>
  </si>
  <si>
    <t>740/21</t>
  </si>
  <si>
    <t>GMINA STARCZA</t>
  </si>
  <si>
    <t>2404162</t>
  </si>
  <si>
    <t>Przebudowa drogi gminnej Nr 706001S ulicy Sportowej w miejscowości Starcza</t>
  </si>
  <si>
    <t>kwiecień 2022-wrzesień 2022</t>
  </si>
  <si>
    <t>719/22</t>
  </si>
  <si>
    <t>GMINA KAMIENICA POLSKA</t>
  </si>
  <si>
    <t>2404042</t>
  </si>
  <si>
    <t>Remont części ul. Magazynowej w Gminie Kamienica Polska</t>
  </si>
  <si>
    <t>718/21</t>
  </si>
  <si>
    <t xml:space="preserve">GMINA DĄBROWA ZIELONA </t>
  </si>
  <si>
    <t>2404022</t>
  </si>
  <si>
    <t>Przebudowa drogi gminnej, ulicy Strażackiej w miejscowości Soborzyce, gmina Dąbrowa Zielona</t>
  </si>
  <si>
    <t>834/21</t>
  </si>
  <si>
    <t>GMINA OGRODZIENIEC</t>
  </si>
  <si>
    <t>2416063</t>
  </si>
  <si>
    <t>zawierciański</t>
  </si>
  <si>
    <t>Przebudowa drogi gminnej - ul. Narutowicza w Ogrodzieńcu</t>
  </si>
  <si>
    <t>710/21</t>
  </si>
  <si>
    <t>GMINA KRZEPICE</t>
  </si>
  <si>
    <t>2406023</t>
  </si>
  <si>
    <t>Remont drogi gminnej 639182S w Zajączkach Drugich</t>
  </si>
  <si>
    <t>737/21</t>
  </si>
  <si>
    <t>GMINA RĘDZINY</t>
  </si>
  <si>
    <t>2404152</t>
  </si>
  <si>
    <t>Przebudowa i budowa drogi gminnej w Rudnikach ul. Wodnica - 638039 S</t>
  </si>
  <si>
    <t>828/21</t>
  </si>
  <si>
    <t>GMINA KNURÓW</t>
  </si>
  <si>
    <t>2405011</t>
  </si>
  <si>
    <t>gliwicki</t>
  </si>
  <si>
    <t>Przebudowa ul. Dywizjonu 303 w Knurowie</t>
  </si>
  <si>
    <t>856/21</t>
  </si>
  <si>
    <t>Przebudowa ulicy Piekarskiej w związku z planowaną przez Tramwaje Śląskie S.A. przebudową torowiska tramwajowego w Bytomiu</t>
  </si>
  <si>
    <t>styczeń 2022-listopad 2023</t>
  </si>
  <si>
    <t>704/21</t>
  </si>
  <si>
    <t xml:space="preserve">GMINA TWORÓG </t>
  </si>
  <si>
    <t>2413082</t>
  </si>
  <si>
    <t xml:space="preserve">Remont ulicy Składowej w Tworogu </t>
  </si>
  <si>
    <t>707/21</t>
  </si>
  <si>
    <t>GMINA WIELOWIEŚ</t>
  </si>
  <si>
    <t>2405082</t>
  </si>
  <si>
    <t>Remont drogi gminnej nr 673 035 S ul. Wiejskiej oraz nr 673 034 S - ul. Wiejskiej w miejscowości Wiśnicze</t>
  </si>
  <si>
    <t>708/21</t>
  </si>
  <si>
    <t>Remont drogi gminnej nr 673 026 S - ul. Kasztanowej w miejscowości Sieroty</t>
  </si>
  <si>
    <t>705/21</t>
  </si>
  <si>
    <t>Remont ulicy Grunwaldzkiej i Kopernika w Tworogu</t>
  </si>
  <si>
    <t>754/21</t>
  </si>
  <si>
    <t>GMINA TARNOWSKIE GÓRY</t>
  </si>
  <si>
    <t>Rozbudowa ul. Polnej w Tarnowskich Górach</t>
  </si>
  <si>
    <t>794/21</t>
  </si>
  <si>
    <t>Przebudowa ul. Artylerzystów w Radzionkowie</t>
  </si>
  <si>
    <t>maj 2022-lipiec 2023</t>
  </si>
  <si>
    <t>739/21</t>
  </si>
  <si>
    <t>GMINA ZBROSŁAWICE</t>
  </si>
  <si>
    <t>2413092</t>
  </si>
  <si>
    <t>Przebudowa ulicy Kościuszki w miejsc. Wieszowa</t>
  </si>
  <si>
    <t>796/21</t>
  </si>
  <si>
    <t>2415011</t>
  </si>
  <si>
    <t>Remont ulicy Cisowej i ulicy Łanowej w Pszowie</t>
  </si>
  <si>
    <t>marzec 2022-grudzień 2023</t>
  </si>
  <si>
    <t>723/21</t>
  </si>
  <si>
    <t>GMINA ŁAZISKA GÓRNE</t>
  </si>
  <si>
    <t>2408011</t>
  </si>
  <si>
    <t>Budowa drogi ul. Bażantów w Łaziskach Górnych wraz z oświetleniem ulicznym i odwodnieniem drogi</t>
  </si>
  <si>
    <t>847/21</t>
  </si>
  <si>
    <t xml:space="preserve">GMINA ŚWIERKLANY </t>
  </si>
  <si>
    <t>2412052</t>
  </si>
  <si>
    <t>rybnicki</t>
  </si>
  <si>
    <t>Przebudowa ulicy Spacerowej w Świerklanach</t>
  </si>
  <si>
    <t>725/21</t>
  </si>
  <si>
    <t>GMINA JEJKOWICE</t>
  </si>
  <si>
    <t>2412032</t>
  </si>
  <si>
    <t>Przebudowa drogi gminnej ul. Dworcowa w Jejkowicach</t>
  </si>
  <si>
    <t>maj 2022-październik 2022</t>
  </si>
  <si>
    <t>824/21</t>
  </si>
  <si>
    <t>2479011</t>
  </si>
  <si>
    <t>Żory</t>
  </si>
  <si>
    <t>Zaprojektowanie i przebudowa drogi ul. Bocznej w Żorach wraz z budową i przebudową infrastruktury drogowej</t>
  </si>
  <si>
    <t>sierpień 2022-listopad 2023</t>
  </si>
  <si>
    <t>771/21</t>
  </si>
  <si>
    <t>2408021</t>
  </si>
  <si>
    <t>Budowa części ul. Górnośląskiej w Mikołowie</t>
  </si>
  <si>
    <t>787/21</t>
  </si>
  <si>
    <t>Przebudowa ul. Bolesława Prusa i ul. Słonecznej w Raciborzu</t>
  </si>
  <si>
    <t>kwiecień 2022-październik 2023</t>
  </si>
  <si>
    <t>734/21</t>
  </si>
  <si>
    <t>MIASTO RUDA ŚLĄSKA</t>
  </si>
  <si>
    <t>2472011</t>
  </si>
  <si>
    <t>Ruda Śląska</t>
  </si>
  <si>
    <t>Przebudowa drogi przy ul. Ks. Tunkla i Świętochłowickiej - przebudowa ul. bp. Wilhelma Pluty w Rudzie Śląskiej</t>
  </si>
  <si>
    <t>marzec 2022-lipiec 2023</t>
  </si>
  <si>
    <t>735/21</t>
  </si>
  <si>
    <t>Przebudowa dróg gminnych ul. Dworcowej (nr 172008S) i ul. Przedtorze (nr 172006S) w Rudzie Śląskiej</t>
  </si>
  <si>
    <t>846/21</t>
  </si>
  <si>
    <t>GMINA BIERUŃ</t>
  </si>
  <si>
    <t>2414011</t>
  </si>
  <si>
    <t>bieruńsko-lędziński</t>
  </si>
  <si>
    <t>Przebudowa ul. Piastowskiej w Bieruniu</t>
  </si>
  <si>
    <t>767/21</t>
  </si>
  <si>
    <t>2474011</t>
  </si>
  <si>
    <t>Siemianowice Śląskie</t>
  </si>
  <si>
    <t>Remont drogi gminnej nr 250026S (ul. Dąbrowskiego) w Siemianowicach Śląskich</t>
  </si>
  <si>
    <t>772/21</t>
  </si>
  <si>
    <t>GMINA IMIELIN</t>
  </si>
  <si>
    <t>2414021</t>
  </si>
  <si>
    <t>Przebudowa drogi gminnej ul. Drzymały (655032S) i drogi gminnej ul. Klonowej (655036S) w Imielinie</t>
  </si>
  <si>
    <t>757/21</t>
  </si>
  <si>
    <t>GMINA ZAWIERCIE</t>
  </si>
  <si>
    <t>2416021</t>
  </si>
  <si>
    <t>Przebudowa i remont nawierzchni jezdni i chodników wraz z budową kanałów sanitarnych w ulicach Prusa, Bukowej i Kasztanowej</t>
  </si>
  <si>
    <t>837/21</t>
  </si>
  <si>
    <t>GMINA KROCZYCE</t>
  </si>
  <si>
    <t>2416042</t>
  </si>
  <si>
    <t>Przebudowa dróg w miejscowości Biała Błotna</t>
  </si>
  <si>
    <t>styczeń 2022-październik 2022</t>
  </si>
  <si>
    <t>854/21</t>
  </si>
  <si>
    <t>GMINA BORONÓW</t>
  </si>
  <si>
    <t>2407022</t>
  </si>
  <si>
    <t>Rozbudowa ulicy Korfantego w Boronowie</t>
  </si>
  <si>
    <t>853/21</t>
  </si>
  <si>
    <t>Budowa ulicy bocznej do ulicy Wiśniowej w Boronowie</t>
  </si>
  <si>
    <t>78*</t>
  </si>
  <si>
    <t>756/21</t>
  </si>
  <si>
    <t>Przebudowa ulicy łączącej ul. Dąbrowica z ul. Żabią w Zawierciu</t>
  </si>
  <si>
    <t>* Kwota dofinansowania zmniejszona do limitu dostępnych środków na rok 2022</t>
  </si>
  <si>
    <t>Zadanie nowe/wieloletnie [N/W]</t>
  </si>
  <si>
    <t>Wnioskowana kwota dofinansowania (w zł)</t>
  </si>
  <si>
    <t>758/21</t>
  </si>
  <si>
    <t>POWIAT WODZISŁAWSKI</t>
  </si>
  <si>
    <t>Przebudowa drogi powiatowej nr 5020S (ul. Czarnieckiego) w Wodzisławiu Śląskim</t>
  </si>
  <si>
    <t>luty 2022-listopad 2023</t>
  </si>
  <si>
    <t>741/21</t>
  </si>
  <si>
    <t>Przebudowa drogi powiatowej nr 4444S Czechowice-Bestwina-Dankowice-Jawiszowice na długości 1836 mb w Dankowicach</t>
  </si>
  <si>
    <t>809/21</t>
  </si>
  <si>
    <t>Przebudowa drogi - budowa chodnika dla pieszych i kanalizacji deszczowej w ciągu drogi powiatowej nr 1434 S Węgierska Górka-Żabnica, w miejscowości Żabnica</t>
  </si>
  <si>
    <t>816/21</t>
  </si>
  <si>
    <t>Przebudowa drogi powiatowej nr 1072 S w miejscowości Stary Broniszew, gmina Mykanów</t>
  </si>
  <si>
    <t>kwiecień 2022-październik 2024</t>
  </si>
  <si>
    <t>799/21</t>
  </si>
  <si>
    <t>POWIAT RACIBORSKI</t>
  </si>
  <si>
    <t>Przebudowa drogi powiatowej nr 3548S w Raciborzu od Placu Konstytucji 3 Maja do ul. Gwiaździstej, od ul. Wandy do rejonu skrzyżowania z ul. Sejmową i od skrzyżowania z ul. Węgierską do działki nr 106 oraz rozbudowa drogi powiatowej nr 3548S w Raciborzu od działki nr 59 do drogi wojewódzkiej nr 416</t>
  </si>
  <si>
    <t>czerwiec 2022-listopad 2023</t>
  </si>
  <si>
    <t>764/21</t>
  </si>
  <si>
    <t>Przebudowa drogi powiatowej 5037S ul. 1 Maja w Gołkowicach (od ul. Strażackiej do ul. Celnej)</t>
  </si>
  <si>
    <t>830/21</t>
  </si>
  <si>
    <t>Przebudowa drogi powiatowej 4724 S - ul. Dąbrowska w Będzinie - etap II</t>
  </si>
  <si>
    <t>805/21</t>
  </si>
  <si>
    <t>Przebudowa dróg powiatowych nr 4101S, 4105S oraz 4106S tj. ul. Zjednoczenia i Pszczyńskiej w Pawłowicach</t>
  </si>
  <si>
    <t>785/21</t>
  </si>
  <si>
    <t>Remont drogi powiatowej 2631 S Jarząbkowice - Zbytków (ul. Wyzwolenia w Zbytkowie)</t>
  </si>
  <si>
    <t>817/21</t>
  </si>
  <si>
    <t>Przebudowa drogi powiatowej nr 1092 S na odc. Kuźnica Grodziska-Rudniki Kolonia, gmina Koniecpol</t>
  </si>
  <si>
    <t>731/21</t>
  </si>
  <si>
    <t>POWIAT KŁOBUCKI</t>
  </si>
  <si>
    <t>Przebudowa drogi powiatowej nr 2003 S relacji Parzymiechy - Napoleon - Lipie</t>
  </si>
  <si>
    <t>807/21</t>
  </si>
  <si>
    <t>Przebudowa DP2335S ulica Ofiar Katynia  w Kaletach</t>
  </si>
  <si>
    <t>795/21</t>
  </si>
  <si>
    <t>POWIAT MIKOŁOWSKI</t>
  </si>
  <si>
    <t>Przebudowa ul. Konstytucji 3 Maja w Mikołowie</t>
  </si>
  <si>
    <t>781/21</t>
  </si>
  <si>
    <t>Przebudowa ul. Lipcowej w Mikołowie - ciąg pieszo - rowerowy, chodnik, jezdnia, odwodnienie wraz z remontem wybranych elementów pasa drogowego</t>
  </si>
  <si>
    <t>849/21</t>
  </si>
  <si>
    <t>Rozbudowa ul. gen. Mariusza Zaruskiego w Sosnowcu</t>
  </si>
  <si>
    <t>styczeń 2022-marzec 2023</t>
  </si>
  <si>
    <t>N - zadanie nowe, W - nowe zadanie wieloletnie</t>
  </si>
  <si>
    <t>833/21</t>
  </si>
  <si>
    <t>Przebudowa dróg gminnych - ul. Paderewskiego i Szerokiej w Ogrodzieńcu</t>
  </si>
  <si>
    <t>747/21</t>
  </si>
  <si>
    <t>GMINA OLSZTYN</t>
  </si>
  <si>
    <t>2404122</t>
  </si>
  <si>
    <t>Budowa drogi gminnej w miejscowości Biskupice-gmina Olsztyn do granic miejscowości Choroń - gmina Poraj</t>
  </si>
  <si>
    <t>wrzesień 2022-wrzesień 2024</t>
  </si>
  <si>
    <t>811/21</t>
  </si>
  <si>
    <t>GMINA PORAJ</t>
  </si>
  <si>
    <t>2409042</t>
  </si>
  <si>
    <t>Budowa drogi gminnej w miejscowości Choroń-gmina Poraj do granicy miejscowości Biskupice - gmina Olsztyn</t>
  </si>
  <si>
    <t>maj 2022-wrzesień 2023</t>
  </si>
  <si>
    <t>749/21</t>
  </si>
  <si>
    <t>GMINA ŻARNOWIEC</t>
  </si>
  <si>
    <t>2416102</t>
  </si>
  <si>
    <t>Przebudowa drogi gminnej nr 692037 S Małoszyce Borek Jeziorowice Folwark km 0+000-2+300</t>
  </si>
  <si>
    <t>840/21</t>
  </si>
  <si>
    <t>GMINA ŁAZY</t>
  </si>
  <si>
    <t>2416053</t>
  </si>
  <si>
    <t>Przebudowa ulicy Szostka w Łazach</t>
  </si>
  <si>
    <t>841/21</t>
  </si>
  <si>
    <t>2463011</t>
  </si>
  <si>
    <t>Chorzów</t>
  </si>
  <si>
    <t>Przebudowa ul. Władysława Truchana na odcinku od ul. Sienkiewicza do ul. Strzelców Bytomskich w Chorzowie</t>
  </si>
  <si>
    <t>czerwiec 2022-czerwiec 2024</t>
  </si>
  <si>
    <t>777/21</t>
  </si>
  <si>
    <t>GMINA KOSZĘCIN</t>
  </si>
  <si>
    <t>2407062</t>
  </si>
  <si>
    <t>Budowa drogi bocznej od ulicy Dębowej do ulicy Wąskiej w miejscowości Strzebiń</t>
  </si>
  <si>
    <t>752/21</t>
  </si>
  <si>
    <t>Przebudowa drogi gminnej nr 692009 S Wola Libertowska Szkoła km 0+000-0+690</t>
  </si>
  <si>
    <t>713/21</t>
  </si>
  <si>
    <t>MIASTO RYBNIK</t>
  </si>
  <si>
    <t>2473011</t>
  </si>
  <si>
    <t>Rybnik</t>
  </si>
  <si>
    <t>Budowa i rozbudowa ul. Storczyków w Rybniku wraz z rozbudową skrzyżowania z ul. Energetyków (łącznik ul. Góreckiego - Energetyków)</t>
  </si>
  <si>
    <t>823/21</t>
  </si>
  <si>
    <t>Przebudowa ul. Kolejowej w Bieruniu - etap I</t>
  </si>
  <si>
    <t>845/21</t>
  </si>
  <si>
    <t>GMINA PYSKOWICE</t>
  </si>
  <si>
    <t>2405021</t>
  </si>
  <si>
    <t>Przebudowa ulicy gen. Władysława Sikorskiego w Pyskowicach</t>
  </si>
  <si>
    <t>październik 2022-wrzesień 2023</t>
  </si>
  <si>
    <t>751/21</t>
  </si>
  <si>
    <t>GMINA PSZCZYNA</t>
  </si>
  <si>
    <t>2410053</t>
  </si>
  <si>
    <t>pszczyński</t>
  </si>
  <si>
    <t>Rozbudowa ul. Wolności w Piasku</t>
  </si>
  <si>
    <t>marzec 2022-październik 2023</t>
  </si>
  <si>
    <t>706/21</t>
  </si>
  <si>
    <t>GMINA ZEBRZYDOWICE</t>
  </si>
  <si>
    <t>2403122</t>
  </si>
  <si>
    <t>Przebudowa drogi gminnej nr 606401 S ul. Agrestowej w Zebrzydowicach</t>
  </si>
  <si>
    <t>774/21</t>
  </si>
  <si>
    <t>Remont drogi gminnej ul. Wspólnej w Skoczowie</t>
  </si>
  <si>
    <t>803/21</t>
  </si>
  <si>
    <t>GMINA HAŻLACH</t>
  </si>
  <si>
    <t>2403082</t>
  </si>
  <si>
    <t>Przebudowa odcinka drogi gminnej 637072S ul. Warszawska w Pogwizdowie</t>
  </si>
  <si>
    <t xml:space="preserve">750/21 </t>
  </si>
  <si>
    <t>GMINA KŁOBUCK</t>
  </si>
  <si>
    <t>2406013</t>
  </si>
  <si>
    <t>Przebudowa odcinka drogi gminnej nr 470 085S ul. A. Mickiewicza oraz odcinka drogi gminnej nr 470 086S ul. Ogrodowej w Kłobucku</t>
  </si>
  <si>
    <t>802/21</t>
  </si>
  <si>
    <t>Przebudowa odcinka drogi gminnej numer 637132S - ul. Szkolnej w Zamarskach</t>
  </si>
  <si>
    <t>711/21</t>
  </si>
  <si>
    <t>GMINA OŻAROWICE</t>
  </si>
  <si>
    <t>2413062</t>
  </si>
  <si>
    <t>Przebudowa drogi gminnej nr 687039 S (ul. Żubrza, Kolejowa, Wolności)</t>
  </si>
  <si>
    <t>732/21</t>
  </si>
  <si>
    <t>GMINA BĘDZIN</t>
  </si>
  <si>
    <t>Przebudowa dróg gminnych 300003S oraz 300019S, przebudowa ciągów pieszych, parkingu, zatoki postojowej, oświetlenia obiektów infrastruktury technicznej w pasie drogowym ulic Śmigielskiego i Sznajdera</t>
  </si>
  <si>
    <t>842/21</t>
  </si>
  <si>
    <t>2465011</t>
  </si>
  <si>
    <t>Dąbrowa Górnicza</t>
  </si>
  <si>
    <t>Przebudowa pasa drogowego ul. Księdza Grzegorza Augustynika wraz z wykonaniem dróg dla rowerów oraz ciągów pieszych w Dąbrowie Górniczej</t>
  </si>
  <si>
    <t>czerwiec 2022-grudzień 2023</t>
  </si>
  <si>
    <t>814/21</t>
  </si>
  <si>
    <t>GMINA PAWŁOWICE</t>
  </si>
  <si>
    <t>2410042</t>
  </si>
  <si>
    <t>Przebudowa ulicy Zapłocie w Pawłowicach - etap I</t>
  </si>
  <si>
    <t>810/21</t>
  </si>
  <si>
    <t>Rozbudowa i remont odcinka ul. Akademii Umiejętności w Bielsku-Białej</t>
  </si>
  <si>
    <t>kwiecień 2022-grudzień 2023</t>
  </si>
  <si>
    <t xml:space="preserve">789/21 </t>
  </si>
  <si>
    <t>GMINA CIESZYN</t>
  </si>
  <si>
    <t>2403011</t>
  </si>
  <si>
    <t>Przebudowa drogi gminnej ul. Zofii Kossak-Szatkowskiej w Cieszynie</t>
  </si>
  <si>
    <t>820/21</t>
  </si>
  <si>
    <t>GMINA GOCZAŁKOWICE-ZDRÓJ</t>
  </si>
  <si>
    <t>2410012</t>
  </si>
  <si>
    <t>Budowa nowego odcinka ulicy PCK w Goczałkowicach-Zdroju</t>
  </si>
  <si>
    <t>753/21</t>
  </si>
  <si>
    <t>Przebudowa drogi gminnej ul. Potoczki w Bażanowicach o długości 0,77 km</t>
  </si>
  <si>
    <t>czerwiec 2022-kwiecień 2024</t>
  </si>
  <si>
    <t>812/21</t>
  </si>
  <si>
    <t>Przebudowa ulicy Morcinka i ulicy Kargera poprzez przebudowę zatoki autobusowej i budowę zatok postojowych w Cieszynie</t>
  </si>
  <si>
    <t>744/21</t>
  </si>
  <si>
    <t>Rozbudowa ul. Dygasińskiego i ul. Wczasowej w Łące</t>
  </si>
  <si>
    <t>761/21</t>
  </si>
  <si>
    <t>Przebudowa wraz z rozbudową drogi gminnej 656058 S ul. Ogrodowa w miejscowości Ostrowy nad Okszą, gm. Miedźno</t>
  </si>
  <si>
    <t>709/21</t>
  </si>
  <si>
    <t>Budowa drogi gminnej 639145S ul. Polna w Starokrzepicach</t>
  </si>
  <si>
    <t>843/21</t>
  </si>
  <si>
    <t>GMINA WRĘCZYCA WIELKA</t>
  </si>
  <si>
    <t>2406092</t>
  </si>
  <si>
    <t>Remont drogi gminnej w miejscowości Klepaczka gm. Wręczyca Wielka</t>
  </si>
  <si>
    <t>778/21</t>
  </si>
  <si>
    <t>Budowa drogi gminnej  - ul. Mieszka I w Koszęcinie</t>
  </si>
  <si>
    <t>762/21</t>
  </si>
  <si>
    <t>Przebudowa drogi gminnej 656058 S ul. Łąkowa w miejscowości Ostrowy nad Okszą, gm. Miedźno</t>
  </si>
  <si>
    <t>835/21</t>
  </si>
  <si>
    <t>GMINA LUBLINIEC</t>
  </si>
  <si>
    <t>2407011</t>
  </si>
  <si>
    <t>Budowa dróg gminnych ul. Kardynała Hlonda nr 440 034S, Górniczej nr 440 030S, Księdza Cebuli nr 440 009S w Lublińcu</t>
  </si>
  <si>
    <t>759/21</t>
  </si>
  <si>
    <t>GMINA JANÓW</t>
  </si>
  <si>
    <t>2404032</t>
  </si>
  <si>
    <t>Przebudowa części ul. Żurawskiej i łącznika do budynku bloku SKR w Janowie</t>
  </si>
  <si>
    <t>listopad 2022-październik 2023</t>
  </si>
  <si>
    <t>726/21</t>
  </si>
  <si>
    <t>2464011</t>
  </si>
  <si>
    <t>Częstochowa</t>
  </si>
  <si>
    <t>Przebudowa ulicy Jasnogórskiej w Częstochowie</t>
  </si>
  <si>
    <t>839/21</t>
  </si>
  <si>
    <t>Przebudowa drogi gminnej Nr 560 078S ul. Cmentarna w miejscowości Truskolasy</t>
  </si>
  <si>
    <t>801/21</t>
  </si>
  <si>
    <t>GMINA PANKI</t>
  </si>
  <si>
    <t>2406062</t>
  </si>
  <si>
    <t>Przebudowa drogi gminnej nr 693024S Panki-Ceglarze-Zwierzyniec III-Konieczki</t>
  </si>
  <si>
    <t>lipiec 2022-listopad 2023</t>
  </si>
  <si>
    <t>791/21</t>
  </si>
  <si>
    <t>Budowa dróg oraz infrastruktury towarzyszącej na terenie osiedla mieszkaniowego przy ul. Krasickiego w Myszkowie</t>
  </si>
  <si>
    <t>855/21</t>
  </si>
  <si>
    <t>Przebudowa ulicy Tysiąclecia w Bytomiu</t>
  </si>
  <si>
    <t>746/21</t>
  </si>
  <si>
    <t>Rozbudowa ul. Towarowej w Tarnowskich Górach</t>
  </si>
  <si>
    <t>712/21</t>
  </si>
  <si>
    <t>Budowa dróg gminnych ul. Spacerowa i Grabowa i przebudowa drogi gminnej ul. Jasionek</t>
  </si>
  <si>
    <t>763/21</t>
  </si>
  <si>
    <t>GMINA PILCHOWICE</t>
  </si>
  <si>
    <t>2405042</t>
  </si>
  <si>
    <t>Przebudowa drogi gminnej, ul. Lipowa w Stanicy</t>
  </si>
  <si>
    <t>738/21</t>
  </si>
  <si>
    <t>Przebudowa ulicy Stokrotek w miejsc. Łubki</t>
  </si>
  <si>
    <t>769/21</t>
  </si>
  <si>
    <t>MIASTO GLIWICE</t>
  </si>
  <si>
    <t>2466011</t>
  </si>
  <si>
    <t>Gliwice</t>
  </si>
  <si>
    <t>Rozbudowa ulicy Architektów (droga gminna nr 130513 S ) w Gliwicach</t>
  </si>
  <si>
    <t>829/21</t>
  </si>
  <si>
    <t>GMINA GORZYCE</t>
  </si>
  <si>
    <t>2415062</t>
  </si>
  <si>
    <t>Przebudowa odnogi ulicy Dworcowej  w Czyżowicach</t>
  </si>
  <si>
    <t>826/21</t>
  </si>
  <si>
    <t>Przebudowa drogi gminnej ul. Mickiewicza w Gorzycach</t>
  </si>
  <si>
    <t>729/21</t>
  </si>
  <si>
    <t>GMINA KRZANOWICE</t>
  </si>
  <si>
    <t>2411033</t>
  </si>
  <si>
    <t>Przebudowa dróg gminnych ul. Sikorskiego i Zawadzkiego w miejscowości Krzanowice</t>
  </si>
  <si>
    <t>luty 2022-listopad 2022</t>
  </si>
  <si>
    <t>714/21</t>
  </si>
  <si>
    <t>Przebudowa ul. Niewiadomskiej na odcinku od skrzyżowania z ul. Raciborską (DW 935) do granicy miasta</t>
  </si>
  <si>
    <t>724/21</t>
  </si>
  <si>
    <t>GMINA WYRY</t>
  </si>
  <si>
    <t>2408052</t>
  </si>
  <si>
    <t>Przebudowa ulicy Dworcowej w Wyrach</t>
  </si>
  <si>
    <t>786/21</t>
  </si>
  <si>
    <t>Przebudowa ul. Jana Kochanowskiego w Raciborzu</t>
  </si>
  <si>
    <t>770/21</t>
  </si>
  <si>
    <t>Przebudowa ul. Plebiscytowej - budowa chodnika wraz z wymianą nawierzchni jezdni</t>
  </si>
  <si>
    <t>775/21</t>
  </si>
  <si>
    <t>GMINA WODZISŁAW ŚLĄSKI</t>
  </si>
  <si>
    <t>2415041</t>
  </si>
  <si>
    <t>Remont drogi gminnej obejmującej ulicę Marii Dąbrowskiej w Wodzisławiu Śląskim</t>
  </si>
  <si>
    <t>776/21</t>
  </si>
  <si>
    <t>Remont drogi gminnej obejmującej ulicę Słowiańską w Wodzisławiu Śląskim</t>
  </si>
  <si>
    <t>727/21</t>
  </si>
  <si>
    <t>Przebudowa drogi ul. Lipowej w Łaziskach Górnych</t>
  </si>
  <si>
    <t>766/21</t>
  </si>
  <si>
    <t>Budowa przedłużenia ul. P. Skargi do połączenia z ul. Kościuszki w Chorzowie</t>
  </si>
  <si>
    <t>czerwiec 2022-czewriec 2023</t>
  </si>
  <si>
    <t>793/21</t>
  </si>
  <si>
    <t xml:space="preserve">GMINA CZELADŹ </t>
  </si>
  <si>
    <t>2401021</t>
  </si>
  <si>
    <t>Rozbudowa ulicy Ogrodowej w Czeladzi wraz z infrastrukturą techniczną</t>
  </si>
  <si>
    <t>851/21</t>
  </si>
  <si>
    <t>GMINA SIEWIERZ</t>
  </si>
  <si>
    <t>Przebudowa ul. Targowej i ul. Sikorskiego w Siewierzu, w tym m.in. budowa kanalizacji deszczowej</t>
  </si>
  <si>
    <t>784/21</t>
  </si>
  <si>
    <t>GMINA SŁAWKÓW</t>
  </si>
  <si>
    <t>2401081</t>
  </si>
  <si>
    <t>Budowa odcinka nowej drogi ul. Grodzkiej w Sławkowie wraz z kanalizacją deszczową i ciągiem pieszym</t>
  </si>
  <si>
    <t>852/21</t>
  </si>
  <si>
    <t>Przebudowa ul. Kościuszki i ul. Ludowej w Siewierzu, w tym m.in. przebudowa oświetlenia i odwodnienia</t>
  </si>
  <si>
    <t>836/21</t>
  </si>
  <si>
    <t>Przebudowa ulicy Bocznej w Wysokiej w gminie Łazy</t>
  </si>
  <si>
    <t>848/21</t>
  </si>
  <si>
    <t>Rozbudowa ul. gen. Tadeusza Bora-Komorowskiego w Sosnowcu</t>
  </si>
  <si>
    <t>844/21</t>
  </si>
  <si>
    <t>GMINA PSARY</t>
  </si>
  <si>
    <t>Rozbudowa ulicy Kolejowej w Psarach</t>
  </si>
  <si>
    <t>marzec 2022-październik 2025</t>
  </si>
  <si>
    <t>779/21</t>
  </si>
  <si>
    <t>Kompleksowy remont nawierzchni jezdni i ciągów chodnikowych w ul. Legionów Polskich w Sławkowie</t>
  </si>
  <si>
    <t>kwiecień 2022-grudzień 2022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</si>
</sst>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z_ł_-;\-* #,##0.00\ _z_ł_-;_-* \-??\ _z_ł_-;_-@_-"/>
    <numFmt numFmtId="166" formatCode="0%"/>
    <numFmt numFmtId="167" formatCode="#,##0.00"/>
    <numFmt numFmtId="168" formatCode="0.000000"/>
    <numFmt numFmtId="169" formatCode="#,##0.00&quot; zł&quot;"/>
    <numFmt numFmtId="170" formatCode="DD\ MMM"/>
    <numFmt numFmtId="171" formatCode="@"/>
    <numFmt numFmtId="172" formatCode="#,##0.000"/>
    <numFmt numFmtId="173" formatCode="0.0000"/>
    <numFmt numFmtId="174" formatCode="0.000"/>
    <numFmt numFmtId="175" formatCode="D/MM/YY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53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</cellStyleXfs>
  <cellXfs count="41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 wrapText="1"/>
    </xf>
    <xf numFmtId="164" fontId="3" fillId="2" borderId="0" xfId="0" applyFont="1" applyFill="1" applyBorder="1" applyAlignment="1">
      <alignment wrapText="1"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/>
    </xf>
    <xf numFmtId="164" fontId="0" fillId="2" borderId="0" xfId="0" applyFill="1" applyAlignment="1">
      <alignment/>
    </xf>
    <xf numFmtId="164" fontId="6" fillId="2" borderId="0" xfId="0" applyFont="1" applyFill="1" applyAlignment="1">
      <alignment vertical="center"/>
    </xf>
    <xf numFmtId="164" fontId="0" fillId="2" borderId="0" xfId="0" applyFill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/>
    </xf>
    <xf numFmtId="164" fontId="6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169" fontId="8" fillId="2" borderId="0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9" fontId="5" fillId="2" borderId="0" xfId="0" applyNumberFormat="1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vertical="center"/>
    </xf>
    <xf numFmtId="169" fontId="0" fillId="2" borderId="0" xfId="0" applyNumberFormat="1" applyFill="1" applyAlignment="1">
      <alignment vertical="center"/>
    </xf>
    <xf numFmtId="169" fontId="0" fillId="2" borderId="0" xfId="0" applyNumberFormat="1" applyFill="1" applyAlignment="1">
      <alignment/>
    </xf>
    <xf numFmtId="164" fontId="8" fillId="0" borderId="1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5" fillId="0" borderId="0" xfId="0" applyFont="1" applyAlignment="1">
      <alignment/>
    </xf>
    <xf numFmtId="164" fontId="6" fillId="0" borderId="7" xfId="0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8" fillId="0" borderId="10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vertical="center"/>
    </xf>
    <xf numFmtId="169" fontId="8" fillId="0" borderId="13" xfId="0" applyNumberFormat="1" applyFont="1" applyFill="1" applyBorder="1" applyAlignment="1">
      <alignment vertical="center"/>
    </xf>
    <xf numFmtId="169" fontId="8" fillId="2" borderId="14" xfId="0" applyNumberFormat="1" applyFont="1" applyFill="1" applyBorder="1" applyAlignment="1">
      <alignment vertical="center"/>
    </xf>
    <xf numFmtId="169" fontId="8" fillId="0" borderId="11" xfId="0" applyNumberFormat="1" applyFont="1" applyFill="1" applyBorder="1" applyAlignment="1">
      <alignment vertical="center"/>
    </xf>
    <xf numFmtId="169" fontId="8" fillId="0" borderId="15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10" fillId="0" borderId="16" xfId="0" applyFont="1" applyFill="1" applyBorder="1" applyAlignment="1">
      <alignment horizontal="left" vertical="center" wrapText="1" indent="2"/>
    </xf>
    <xf numFmtId="164" fontId="10" fillId="2" borderId="17" xfId="0" applyNumberFormat="1" applyFont="1" applyFill="1" applyBorder="1" applyAlignment="1">
      <alignment horizontal="center" vertical="center"/>
    </xf>
    <xf numFmtId="169" fontId="10" fillId="2" borderId="18" xfId="0" applyNumberFormat="1" applyFont="1" applyFill="1" applyBorder="1" applyAlignment="1">
      <alignment vertical="center"/>
    </xf>
    <xf numFmtId="169" fontId="10" fillId="2" borderId="19" xfId="0" applyNumberFormat="1" applyFont="1" applyFill="1" applyBorder="1" applyAlignment="1">
      <alignment vertical="center"/>
    </xf>
    <xf numFmtId="169" fontId="10" fillId="2" borderId="20" xfId="0" applyNumberFormat="1" applyFont="1" applyFill="1" applyBorder="1" applyAlignment="1">
      <alignment vertical="center"/>
    </xf>
    <xf numFmtId="169" fontId="10" fillId="2" borderId="17" xfId="0" applyNumberFormat="1" applyFont="1" applyFill="1" applyBorder="1" applyAlignment="1">
      <alignment vertical="center"/>
    </xf>
    <xf numFmtId="169" fontId="10" fillId="2" borderId="21" xfId="0" applyNumberFormat="1" applyFont="1" applyFill="1" applyBorder="1" applyAlignment="1">
      <alignment vertical="center"/>
    </xf>
    <xf numFmtId="164" fontId="8" fillId="0" borderId="16" xfId="0" applyFont="1" applyFill="1" applyBorder="1" applyAlignment="1">
      <alignment horizontal="left" vertical="center" indent="2"/>
    </xf>
    <xf numFmtId="164" fontId="8" fillId="2" borderId="17" xfId="0" applyNumberFormat="1" applyFont="1" applyFill="1" applyBorder="1" applyAlignment="1">
      <alignment horizontal="center" vertical="center"/>
    </xf>
    <xf numFmtId="169" fontId="8" fillId="2" borderId="18" xfId="0" applyNumberFormat="1" applyFont="1" applyFill="1" applyBorder="1" applyAlignment="1">
      <alignment vertical="center"/>
    </xf>
    <xf numFmtId="169" fontId="8" fillId="2" borderId="19" xfId="0" applyNumberFormat="1" applyFont="1" applyFill="1" applyBorder="1" applyAlignment="1">
      <alignment vertical="center"/>
    </xf>
    <xf numFmtId="169" fontId="8" fillId="2" borderId="20" xfId="0" applyNumberFormat="1" applyFont="1" applyFill="1" applyBorder="1" applyAlignment="1">
      <alignment vertical="center"/>
    </xf>
    <xf numFmtId="169" fontId="8" fillId="2" borderId="17" xfId="0" applyNumberFormat="1" applyFont="1" applyFill="1" applyBorder="1" applyAlignment="1">
      <alignment vertical="center"/>
    </xf>
    <xf numFmtId="169" fontId="8" fillId="2" borderId="21" xfId="0" applyNumberFormat="1" applyFont="1" applyFill="1" applyBorder="1" applyAlignment="1">
      <alignment vertical="center"/>
    </xf>
    <xf numFmtId="164" fontId="10" fillId="0" borderId="22" xfId="0" applyFont="1" applyFill="1" applyBorder="1" applyAlignment="1">
      <alignment horizontal="left" vertical="center" indent="2"/>
    </xf>
    <xf numFmtId="164" fontId="10" fillId="2" borderId="23" xfId="0" applyNumberFormat="1" applyFont="1" applyFill="1" applyBorder="1" applyAlignment="1">
      <alignment horizontal="center" vertical="center"/>
    </xf>
    <xf numFmtId="169" fontId="10" fillId="2" borderId="24" xfId="0" applyNumberFormat="1" applyFont="1" applyFill="1" applyBorder="1" applyAlignment="1">
      <alignment vertical="center"/>
    </xf>
    <xf numFmtId="169" fontId="10" fillId="2" borderId="25" xfId="0" applyNumberFormat="1" applyFont="1" applyFill="1" applyBorder="1" applyAlignment="1">
      <alignment vertical="center"/>
    </xf>
    <xf numFmtId="169" fontId="10" fillId="2" borderId="26" xfId="0" applyNumberFormat="1" applyFont="1" applyFill="1" applyBorder="1" applyAlignment="1">
      <alignment vertical="center"/>
    </xf>
    <xf numFmtId="169" fontId="10" fillId="2" borderId="23" xfId="0" applyNumberFormat="1" applyFont="1" applyFill="1" applyBorder="1" applyAlignment="1">
      <alignment vertical="center"/>
    </xf>
    <xf numFmtId="169" fontId="10" fillId="2" borderId="27" xfId="0" applyNumberFormat="1" applyFont="1" applyFill="1" applyBorder="1" applyAlignment="1">
      <alignment vertical="center"/>
    </xf>
    <xf numFmtId="169" fontId="8" fillId="2" borderId="11" xfId="0" applyNumberFormat="1" applyFont="1" applyFill="1" applyBorder="1" applyAlignment="1">
      <alignment vertical="center"/>
    </xf>
    <xf numFmtId="164" fontId="11" fillId="3" borderId="10" xfId="0" applyFont="1" applyFill="1" applyBorder="1" applyAlignment="1">
      <alignment vertical="center"/>
    </xf>
    <xf numFmtId="164" fontId="11" fillId="3" borderId="11" xfId="0" applyNumberFormat="1" applyFont="1" applyFill="1" applyBorder="1" applyAlignment="1">
      <alignment horizontal="center" vertical="center"/>
    </xf>
    <xf numFmtId="169" fontId="11" fillId="3" borderId="12" xfId="0" applyNumberFormat="1" applyFont="1" applyFill="1" applyBorder="1" applyAlignment="1">
      <alignment vertical="center"/>
    </xf>
    <xf numFmtId="169" fontId="11" fillId="3" borderId="13" xfId="0" applyNumberFormat="1" applyFont="1" applyFill="1" applyBorder="1" applyAlignment="1">
      <alignment vertical="center"/>
    </xf>
    <xf numFmtId="169" fontId="11" fillId="2" borderId="14" xfId="0" applyNumberFormat="1" applyFont="1" applyFill="1" applyBorder="1" applyAlignment="1">
      <alignment vertical="center"/>
    </xf>
    <xf numFmtId="169" fontId="11" fillId="3" borderId="11" xfId="0" applyNumberFormat="1" applyFont="1" applyFill="1" applyBorder="1" applyAlignment="1">
      <alignment vertical="center"/>
    </xf>
    <xf numFmtId="169" fontId="11" fillId="3" borderId="15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/>
    </xf>
    <xf numFmtId="167" fontId="13" fillId="0" borderId="0" xfId="0" applyNumberFormat="1" applyFont="1" applyBorder="1" applyAlignment="1">
      <alignment/>
    </xf>
    <xf numFmtId="164" fontId="14" fillId="0" borderId="0" xfId="0" applyFont="1" applyAlignment="1">
      <alignment/>
    </xf>
    <xf numFmtId="164" fontId="10" fillId="3" borderId="16" xfId="0" applyFont="1" applyFill="1" applyBorder="1" applyAlignment="1">
      <alignment horizontal="left" vertical="center" wrapText="1" indent="2"/>
    </xf>
    <xf numFmtId="164" fontId="10" fillId="3" borderId="17" xfId="0" applyNumberFormat="1" applyFont="1" applyFill="1" applyBorder="1" applyAlignment="1">
      <alignment horizontal="center" vertical="center"/>
    </xf>
    <xf numFmtId="169" fontId="10" fillId="3" borderId="18" xfId="0" applyNumberFormat="1" applyFont="1" applyFill="1" applyBorder="1" applyAlignment="1">
      <alignment vertical="center"/>
    </xf>
    <xf numFmtId="169" fontId="10" fillId="3" borderId="19" xfId="0" applyNumberFormat="1" applyFont="1" applyFill="1" applyBorder="1" applyAlignment="1">
      <alignment vertical="center"/>
    </xf>
    <xf numFmtId="169" fontId="10" fillId="3" borderId="17" xfId="0" applyNumberFormat="1" applyFont="1" applyFill="1" applyBorder="1" applyAlignment="1">
      <alignment vertical="center"/>
    </xf>
    <xf numFmtId="169" fontId="10" fillId="3" borderId="21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/>
    </xf>
    <xf numFmtId="167" fontId="6" fillId="0" borderId="0" xfId="0" applyNumberFormat="1" applyFont="1" applyBorder="1" applyAlignment="1">
      <alignment/>
    </xf>
    <xf numFmtId="164" fontId="8" fillId="3" borderId="16" xfId="0" applyFont="1" applyFill="1" applyBorder="1" applyAlignment="1">
      <alignment horizontal="left" vertical="center" indent="2"/>
    </xf>
    <xf numFmtId="164" fontId="8" fillId="3" borderId="17" xfId="0" applyNumberFormat="1" applyFont="1" applyFill="1" applyBorder="1" applyAlignment="1">
      <alignment horizontal="center" vertical="center"/>
    </xf>
    <xf numFmtId="169" fontId="8" fillId="3" borderId="18" xfId="0" applyNumberFormat="1" applyFont="1" applyFill="1" applyBorder="1" applyAlignment="1">
      <alignment vertical="center"/>
    </xf>
    <xf numFmtId="169" fontId="8" fillId="3" borderId="19" xfId="0" applyNumberFormat="1" applyFont="1" applyFill="1" applyBorder="1" applyAlignment="1">
      <alignment vertical="center"/>
    </xf>
    <xf numFmtId="169" fontId="8" fillId="3" borderId="17" xfId="0" applyNumberFormat="1" applyFont="1" applyFill="1" applyBorder="1" applyAlignment="1">
      <alignment vertical="center"/>
    </xf>
    <xf numFmtId="169" fontId="8" fillId="3" borderId="21" xfId="0" applyNumberFormat="1" applyFont="1" applyFill="1" applyBorder="1" applyAlignment="1">
      <alignment vertical="center"/>
    </xf>
    <xf numFmtId="164" fontId="10" fillId="3" borderId="22" xfId="0" applyFont="1" applyFill="1" applyBorder="1" applyAlignment="1">
      <alignment horizontal="left" vertical="center" indent="2"/>
    </xf>
    <xf numFmtId="164" fontId="10" fillId="3" borderId="23" xfId="0" applyNumberFormat="1" applyFont="1" applyFill="1" applyBorder="1" applyAlignment="1">
      <alignment horizontal="center" vertical="center"/>
    </xf>
    <xf numFmtId="169" fontId="10" fillId="3" borderId="24" xfId="0" applyNumberFormat="1" applyFont="1" applyFill="1" applyBorder="1" applyAlignment="1">
      <alignment vertical="center"/>
    </xf>
    <xf numFmtId="169" fontId="10" fillId="3" borderId="25" xfId="0" applyNumberFormat="1" applyFont="1" applyFill="1" applyBorder="1" applyAlignment="1">
      <alignment vertical="center"/>
    </xf>
    <xf numFmtId="169" fontId="10" fillId="3" borderId="23" xfId="0" applyNumberFormat="1" applyFont="1" applyFill="1" applyBorder="1" applyAlignment="1">
      <alignment vertical="center"/>
    </xf>
    <xf numFmtId="169" fontId="10" fillId="3" borderId="27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top"/>
    </xf>
    <xf numFmtId="167" fontId="6" fillId="0" borderId="0" xfId="0" applyNumberFormat="1" applyFont="1" applyBorder="1" applyAlignment="1">
      <alignment vertical="top"/>
    </xf>
    <xf numFmtId="164" fontId="8" fillId="4" borderId="28" xfId="0" applyFont="1" applyFill="1" applyBorder="1" applyAlignment="1">
      <alignment vertical="center"/>
    </xf>
    <xf numFmtId="164" fontId="8" fillId="4" borderId="29" xfId="0" applyNumberFormat="1" applyFont="1" applyFill="1" applyBorder="1" applyAlignment="1">
      <alignment horizontal="center" vertical="center"/>
    </xf>
    <xf numFmtId="169" fontId="8" fillId="4" borderId="30" xfId="0" applyNumberFormat="1" applyFont="1" applyFill="1" applyBorder="1" applyAlignment="1">
      <alignment vertical="center"/>
    </xf>
    <xf numFmtId="169" fontId="8" fillId="4" borderId="31" xfId="0" applyNumberFormat="1" applyFont="1" applyFill="1" applyBorder="1" applyAlignment="1">
      <alignment vertical="center"/>
    </xf>
    <xf numFmtId="169" fontId="8" fillId="2" borderId="32" xfId="0" applyNumberFormat="1" applyFont="1" applyFill="1" applyBorder="1" applyAlignment="1">
      <alignment vertical="center"/>
    </xf>
    <xf numFmtId="169" fontId="8" fillId="4" borderId="29" xfId="0" applyNumberFormat="1" applyFont="1" applyFill="1" applyBorder="1" applyAlignment="1">
      <alignment vertical="center"/>
    </xf>
    <xf numFmtId="169" fontId="8" fillId="4" borderId="33" xfId="0" applyNumberFormat="1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8" fillId="4" borderId="16" xfId="0" applyFont="1" applyFill="1" applyBorder="1" applyAlignment="1">
      <alignment horizontal="left" vertical="center" indent="2"/>
    </xf>
    <xf numFmtId="164" fontId="8" fillId="4" borderId="17" xfId="0" applyNumberFormat="1" applyFont="1" applyFill="1" applyBorder="1" applyAlignment="1">
      <alignment horizontal="center" vertical="center"/>
    </xf>
    <xf numFmtId="169" fontId="8" fillId="4" borderId="18" xfId="0" applyNumberFormat="1" applyFont="1" applyFill="1" applyBorder="1" applyAlignment="1">
      <alignment vertical="center"/>
    </xf>
    <xf numFmtId="169" fontId="8" fillId="4" borderId="19" xfId="0" applyNumberFormat="1" applyFont="1" applyFill="1" applyBorder="1" applyAlignment="1">
      <alignment vertical="center"/>
    </xf>
    <xf numFmtId="169" fontId="8" fillId="4" borderId="17" xfId="0" applyNumberFormat="1" applyFont="1" applyFill="1" applyBorder="1" applyAlignment="1">
      <alignment vertical="center"/>
    </xf>
    <xf numFmtId="169" fontId="8" fillId="4" borderId="21" xfId="0" applyNumberFormat="1" applyFont="1" applyFill="1" applyBorder="1" applyAlignment="1">
      <alignment vertical="center"/>
    </xf>
    <xf numFmtId="164" fontId="10" fillId="4" borderId="34" xfId="0" applyFont="1" applyFill="1" applyBorder="1" applyAlignment="1">
      <alignment horizontal="left" vertical="center" indent="2"/>
    </xf>
    <xf numFmtId="164" fontId="10" fillId="4" borderId="7" xfId="0" applyNumberFormat="1" applyFont="1" applyFill="1" applyBorder="1" applyAlignment="1">
      <alignment horizontal="center" vertical="center"/>
    </xf>
    <xf numFmtId="169" fontId="10" fillId="4" borderId="8" xfId="0" applyNumberFormat="1" applyFont="1" applyFill="1" applyBorder="1" applyAlignment="1">
      <alignment vertical="center"/>
    </xf>
    <xf numFmtId="169" fontId="10" fillId="4" borderId="35" xfId="0" applyNumberFormat="1" applyFont="1" applyFill="1" applyBorder="1" applyAlignment="1">
      <alignment vertical="center"/>
    </xf>
    <xf numFmtId="169" fontId="10" fillId="2" borderId="36" xfId="0" applyNumberFormat="1" applyFont="1" applyFill="1" applyBorder="1" applyAlignment="1">
      <alignment vertical="center"/>
    </xf>
    <xf numFmtId="169" fontId="10" fillId="4" borderId="7" xfId="0" applyNumberFormat="1" applyFont="1" applyFill="1" applyBorder="1" applyAlignment="1">
      <alignment vertical="center"/>
    </xf>
    <xf numFmtId="169" fontId="10" fillId="4" borderId="37" xfId="0" applyNumberFormat="1" applyFont="1" applyFill="1" applyBorder="1" applyAlignment="1">
      <alignment vertical="center"/>
    </xf>
    <xf numFmtId="164" fontId="8" fillId="5" borderId="10" xfId="0" applyFont="1" applyFill="1" applyBorder="1" applyAlignment="1">
      <alignment vertical="center"/>
    </xf>
    <xf numFmtId="164" fontId="11" fillId="5" borderId="11" xfId="0" applyNumberFormat="1" applyFont="1" applyFill="1" applyBorder="1" applyAlignment="1">
      <alignment horizontal="center" vertical="center"/>
    </xf>
    <xf numFmtId="169" fontId="11" fillId="5" borderId="12" xfId="0" applyNumberFormat="1" applyFont="1" applyFill="1" applyBorder="1" applyAlignment="1">
      <alignment vertical="center"/>
    </xf>
    <xf numFmtId="169" fontId="11" fillId="5" borderId="13" xfId="0" applyNumberFormat="1" applyFont="1" applyFill="1" applyBorder="1" applyAlignment="1">
      <alignment vertical="center"/>
    </xf>
    <xf numFmtId="169" fontId="11" fillId="5" borderId="14" xfId="0" applyNumberFormat="1" applyFont="1" applyFill="1" applyBorder="1" applyAlignment="1">
      <alignment vertical="center"/>
    </xf>
    <xf numFmtId="169" fontId="11" fillId="5" borderId="11" xfId="0" applyNumberFormat="1" applyFont="1" applyFill="1" applyBorder="1" applyAlignment="1">
      <alignment vertical="center"/>
    </xf>
    <xf numFmtId="169" fontId="11" fillId="5" borderId="15" xfId="0" applyNumberFormat="1" applyFont="1" applyFill="1" applyBorder="1" applyAlignment="1">
      <alignment vertical="center"/>
    </xf>
    <xf numFmtId="164" fontId="10" fillId="5" borderId="16" xfId="0" applyFont="1" applyFill="1" applyBorder="1" applyAlignment="1">
      <alignment horizontal="left" vertical="center" indent="2"/>
    </xf>
    <xf numFmtId="164" fontId="10" fillId="5" borderId="17" xfId="0" applyNumberFormat="1" applyFont="1" applyFill="1" applyBorder="1" applyAlignment="1">
      <alignment horizontal="center" vertical="center"/>
    </xf>
    <xf numFmtId="169" fontId="10" fillId="5" borderId="18" xfId="0" applyNumberFormat="1" applyFont="1" applyFill="1" applyBorder="1" applyAlignment="1">
      <alignment vertical="center"/>
    </xf>
    <xf numFmtId="169" fontId="10" fillId="5" borderId="21" xfId="0" applyNumberFormat="1" applyFont="1" applyFill="1" applyBorder="1" applyAlignment="1">
      <alignment vertical="center"/>
    </xf>
    <xf numFmtId="164" fontId="8" fillId="5" borderId="28" xfId="0" applyFont="1" applyFill="1" applyBorder="1" applyAlignment="1">
      <alignment horizontal="left" vertical="center" indent="2"/>
    </xf>
    <xf numFmtId="164" fontId="11" fillId="5" borderId="29" xfId="0" applyNumberFormat="1" applyFont="1" applyFill="1" applyBorder="1" applyAlignment="1">
      <alignment horizontal="center" vertical="center"/>
    </xf>
    <xf numFmtId="169" fontId="11" fillId="5" borderId="30" xfId="0" applyNumberFormat="1" applyFont="1" applyFill="1" applyBorder="1" applyAlignment="1">
      <alignment vertical="center"/>
    </xf>
    <xf numFmtId="169" fontId="11" fillId="5" borderId="33" xfId="0" applyNumberFormat="1" applyFont="1" applyFill="1" applyBorder="1" applyAlignment="1">
      <alignment vertical="center"/>
    </xf>
    <xf numFmtId="164" fontId="10" fillId="5" borderId="22" xfId="0" applyFont="1" applyFill="1" applyBorder="1" applyAlignment="1">
      <alignment horizontal="left" vertical="center" indent="2"/>
    </xf>
    <xf numFmtId="164" fontId="10" fillId="5" borderId="23" xfId="0" applyNumberFormat="1" applyFont="1" applyFill="1" applyBorder="1" applyAlignment="1">
      <alignment horizontal="center" vertical="center"/>
    </xf>
    <xf numFmtId="169" fontId="10" fillId="5" borderId="24" xfId="0" applyNumberFormat="1" applyFont="1" applyFill="1" applyBorder="1" applyAlignment="1">
      <alignment vertical="center"/>
    </xf>
    <xf numFmtId="169" fontId="10" fillId="5" borderId="27" xfId="0" applyNumberFormat="1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16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right" vertical="center"/>
    </xf>
    <xf numFmtId="164" fontId="18" fillId="0" borderId="0" xfId="0" applyFont="1" applyFill="1" applyAlignment="1">
      <alignment horizontal="right" vertical="center"/>
    </xf>
    <xf numFmtId="164" fontId="19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20" fillId="0" borderId="18" xfId="0" applyFont="1" applyFill="1" applyBorder="1" applyAlignment="1">
      <alignment horizontal="center" vertical="center" wrapText="1"/>
    </xf>
    <xf numFmtId="164" fontId="20" fillId="0" borderId="19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Fill="1" applyAlignment="1">
      <alignment horizontal="center"/>
    </xf>
    <xf numFmtId="164" fontId="16" fillId="0" borderId="0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16" fillId="0" borderId="0" xfId="0" applyFont="1" applyFill="1" applyAlignment="1">
      <alignment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/>
    </xf>
    <xf numFmtId="164" fontId="23" fillId="0" borderId="18" xfId="0" applyFont="1" applyFill="1" applyBorder="1" applyAlignment="1">
      <alignment horizontal="center" vertical="center" wrapText="1"/>
    </xf>
    <xf numFmtId="164" fontId="23" fillId="0" borderId="18" xfId="0" applyFont="1" applyFill="1" applyBorder="1" applyAlignment="1">
      <alignment horizontal="center" vertical="center"/>
    </xf>
    <xf numFmtId="164" fontId="23" fillId="0" borderId="18" xfId="0" applyFont="1" applyFill="1" applyBorder="1" applyAlignment="1">
      <alignment vertical="center"/>
    </xf>
    <xf numFmtId="164" fontId="23" fillId="0" borderId="18" xfId="0" applyFont="1" applyFill="1" applyBorder="1" applyAlignment="1">
      <alignment vertical="center" wrapText="1"/>
    </xf>
    <xf numFmtId="164" fontId="23" fillId="0" borderId="18" xfId="0" applyNumberFormat="1" applyFont="1" applyFill="1" applyBorder="1" applyAlignment="1">
      <alignment horizontal="center" vertical="center"/>
    </xf>
    <xf numFmtId="167" fontId="24" fillId="0" borderId="19" xfId="0" applyNumberFormat="1" applyFont="1" applyFill="1" applyBorder="1" applyAlignment="1">
      <alignment horizontal="right" vertical="center"/>
    </xf>
    <xf numFmtId="167" fontId="24" fillId="0" borderId="18" xfId="0" applyNumberFormat="1" applyFont="1" applyFill="1" applyBorder="1" applyAlignment="1">
      <alignment horizontal="right" vertical="center" wrapText="1"/>
    </xf>
    <xf numFmtId="166" fontId="23" fillId="0" borderId="18" xfId="0" applyNumberFormat="1" applyFont="1" applyFill="1" applyBorder="1" applyAlignment="1">
      <alignment horizontal="center" vertical="center"/>
    </xf>
    <xf numFmtId="167" fontId="23" fillId="0" borderId="19" xfId="0" applyNumberFormat="1" applyFont="1" applyFill="1" applyBorder="1" applyAlignment="1">
      <alignment horizontal="right" vertical="center"/>
    </xf>
    <xf numFmtId="167" fontId="23" fillId="0" borderId="18" xfId="0" applyNumberFormat="1" applyFont="1" applyFill="1" applyBorder="1" applyAlignment="1">
      <alignment horizontal="right" vertical="center" wrapText="1"/>
    </xf>
    <xf numFmtId="167" fontId="24" fillId="0" borderId="19" xfId="0" applyNumberFormat="1" applyFont="1" applyFill="1" applyBorder="1" applyAlignment="1">
      <alignment horizontal="right" vertical="center" wrapText="1"/>
    </xf>
    <xf numFmtId="166" fontId="21" fillId="0" borderId="0" xfId="30" applyFont="1" applyFill="1" applyBorder="1" applyAlignment="1" applyProtection="1">
      <alignment horizontal="center" vertical="center"/>
      <protection/>
    </xf>
    <xf numFmtId="167" fontId="21" fillId="0" borderId="0" xfId="0" applyNumberFormat="1" applyFont="1" applyFill="1" applyAlignment="1">
      <alignment horizontal="center" vertical="center"/>
    </xf>
    <xf numFmtId="167" fontId="23" fillId="0" borderId="0" xfId="0" applyNumberFormat="1" applyFont="1" applyFill="1" applyBorder="1" applyAlignment="1">
      <alignment/>
    </xf>
    <xf numFmtId="167" fontId="24" fillId="0" borderId="0" xfId="0" applyNumberFormat="1" applyFont="1" applyFill="1" applyBorder="1" applyAlignment="1">
      <alignment vertical="center" wrapText="1"/>
    </xf>
    <xf numFmtId="167" fontId="21" fillId="0" borderId="0" xfId="0" applyNumberFormat="1" applyFont="1" applyFill="1" applyAlignment="1">
      <alignment/>
    </xf>
    <xf numFmtId="164" fontId="21" fillId="0" borderId="0" xfId="0" applyFont="1" applyFill="1" applyAlignment="1">
      <alignment/>
    </xf>
    <xf numFmtId="164" fontId="23" fillId="0" borderId="0" xfId="0" applyFont="1" applyFill="1" applyAlignment="1">
      <alignment/>
    </xf>
    <xf numFmtId="167" fontId="23" fillId="0" borderId="38" xfId="0" applyNumberFormat="1" applyFont="1" applyFill="1" applyBorder="1" applyAlignment="1">
      <alignment horizontal="right" vertical="center" wrapText="1"/>
    </xf>
    <xf numFmtId="167" fontId="24" fillId="0" borderId="38" xfId="0" applyNumberFormat="1" applyFont="1" applyFill="1" applyBorder="1" applyAlignment="1">
      <alignment horizontal="right" vertical="center" wrapText="1"/>
    </xf>
    <xf numFmtId="167" fontId="24" fillId="0" borderId="39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Fill="1" applyBorder="1" applyAlignment="1">
      <alignment horizontal="center" vertical="center" wrapText="1"/>
    </xf>
    <xf numFmtId="170" fontId="23" fillId="0" borderId="18" xfId="0" applyNumberFormat="1" applyFont="1" applyFill="1" applyBorder="1" applyAlignment="1">
      <alignment horizontal="center" vertical="center" wrapText="1"/>
    </xf>
    <xf numFmtId="171" fontId="23" fillId="0" borderId="18" xfId="0" applyNumberFormat="1" applyFont="1" applyFill="1" applyBorder="1" applyAlignment="1">
      <alignment horizontal="center" vertical="center" wrapText="1"/>
    </xf>
    <xf numFmtId="172" fontId="23" fillId="0" borderId="18" xfId="0" applyNumberFormat="1" applyFont="1" applyFill="1" applyBorder="1" applyAlignment="1">
      <alignment horizontal="center" vertical="center"/>
    </xf>
    <xf numFmtId="173" fontId="23" fillId="0" borderId="18" xfId="0" applyNumberFormat="1" applyFont="1" applyFill="1" applyBorder="1" applyAlignment="1">
      <alignment horizontal="center" vertical="center" wrapText="1"/>
    </xf>
    <xf numFmtId="174" fontId="23" fillId="0" borderId="18" xfId="0" applyNumberFormat="1" applyFont="1" applyFill="1" applyBorder="1" applyAlignment="1">
      <alignment horizontal="center" vertical="center"/>
    </xf>
    <xf numFmtId="167" fontId="23" fillId="0" borderId="8" xfId="0" applyNumberFormat="1" applyFont="1" applyFill="1" applyBorder="1" applyAlignment="1">
      <alignment horizontal="right" vertical="center" wrapText="1"/>
    </xf>
    <xf numFmtId="165" fontId="23" fillId="0" borderId="18" xfId="0" applyNumberFormat="1" applyFont="1" applyFill="1" applyBorder="1" applyAlignment="1">
      <alignment horizontal="center" vertical="center" wrapText="1"/>
    </xf>
    <xf numFmtId="164" fontId="23" fillId="0" borderId="19" xfId="0" applyFont="1" applyFill="1" applyBorder="1" applyAlignment="1">
      <alignment horizontal="center" vertical="center" wrapText="1"/>
    </xf>
    <xf numFmtId="164" fontId="23" fillId="0" borderId="18" xfId="0" applyFont="1" applyFill="1" applyBorder="1" applyAlignment="1">
      <alignment horizontal="left" vertical="center" wrapText="1"/>
    </xf>
    <xf numFmtId="164" fontId="23" fillId="0" borderId="0" xfId="0" applyFont="1" applyFill="1" applyAlignment="1">
      <alignment vertical="center"/>
    </xf>
    <xf numFmtId="164" fontId="25" fillId="0" borderId="18" xfId="0" applyFont="1" applyFill="1" applyBorder="1" applyAlignment="1">
      <alignment horizontal="center" vertical="center" wrapText="1"/>
    </xf>
    <xf numFmtId="167" fontId="23" fillId="0" borderId="19" xfId="0" applyNumberFormat="1" applyFont="1" applyFill="1" applyBorder="1" applyAlignment="1">
      <alignment horizontal="right" vertical="center" wrapText="1"/>
    </xf>
    <xf numFmtId="166" fontId="23" fillId="0" borderId="19" xfId="0" applyNumberFormat="1" applyFont="1" applyFill="1" applyBorder="1" applyAlignment="1">
      <alignment horizontal="center" vertical="center"/>
    </xf>
    <xf numFmtId="175" fontId="23" fillId="0" borderId="18" xfId="0" applyNumberFormat="1" applyFont="1" applyFill="1" applyBorder="1" applyAlignment="1">
      <alignment horizontal="left" wrapText="1"/>
    </xf>
    <xf numFmtId="164" fontId="25" fillId="0" borderId="18" xfId="0" applyFont="1" applyFill="1" applyBorder="1" applyAlignment="1">
      <alignment horizontal="left" vertical="center" wrapText="1"/>
    </xf>
    <xf numFmtId="164" fontId="25" fillId="0" borderId="18" xfId="0" applyFont="1" applyFill="1" applyBorder="1" applyAlignment="1">
      <alignment horizontal="center" vertical="center"/>
    </xf>
    <xf numFmtId="175" fontId="25" fillId="0" borderId="18" xfId="0" applyNumberFormat="1" applyFont="1" applyFill="1" applyBorder="1" applyAlignment="1">
      <alignment horizontal="left" wrapText="1"/>
    </xf>
    <xf numFmtId="174" fontId="25" fillId="0" borderId="18" xfId="0" applyNumberFormat="1" applyFont="1" applyFill="1" applyBorder="1" applyAlignment="1">
      <alignment horizontal="center" vertical="center"/>
    </xf>
    <xf numFmtId="173" fontId="25" fillId="0" borderId="18" xfId="0" applyNumberFormat="1" applyFont="1" applyFill="1" applyBorder="1" applyAlignment="1">
      <alignment horizontal="center" vertical="center" wrapText="1"/>
    </xf>
    <xf numFmtId="165" fontId="20" fillId="0" borderId="18" xfId="0" applyNumberFormat="1" applyFont="1" applyFill="1" applyBorder="1" applyAlignment="1">
      <alignment horizontal="right" vertical="center"/>
    </xf>
    <xf numFmtId="167" fontId="20" fillId="0" borderId="19" xfId="0" applyNumberFormat="1" applyFont="1" applyFill="1" applyBorder="1" applyAlignment="1">
      <alignment horizontal="right" vertical="center"/>
    </xf>
    <xf numFmtId="166" fontId="25" fillId="0" borderId="18" xfId="0" applyNumberFormat="1" applyFont="1" applyFill="1" applyBorder="1" applyAlignment="1">
      <alignment horizontal="center" vertical="center"/>
    </xf>
    <xf numFmtId="167" fontId="25" fillId="0" borderId="19" xfId="0" applyNumberFormat="1" applyFont="1" applyFill="1" applyBorder="1" applyAlignment="1">
      <alignment horizontal="right" vertical="center"/>
    </xf>
    <xf numFmtId="167" fontId="25" fillId="0" borderId="18" xfId="0" applyNumberFormat="1" applyFont="1" applyFill="1" applyBorder="1" applyAlignment="1">
      <alignment horizontal="right" vertical="center" wrapText="1"/>
    </xf>
    <xf numFmtId="164" fontId="25" fillId="0" borderId="0" xfId="0" applyFont="1" applyFill="1" applyAlignment="1">
      <alignment/>
    </xf>
    <xf numFmtId="167" fontId="25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 vertical="center" wrapText="1"/>
    </xf>
    <xf numFmtId="164" fontId="25" fillId="0" borderId="0" xfId="0" applyFont="1" applyFill="1" applyAlignment="1">
      <alignment vertical="center"/>
    </xf>
    <xf numFmtId="164" fontId="25" fillId="0" borderId="18" xfId="0" applyFont="1" applyFill="1" applyBorder="1" applyAlignment="1">
      <alignment vertical="center" wrapText="1"/>
    </xf>
    <xf numFmtId="167" fontId="25" fillId="0" borderId="8" xfId="0" applyNumberFormat="1" applyFont="1" applyFill="1" applyBorder="1" applyAlignment="1">
      <alignment horizontal="right" vertical="center" wrapText="1"/>
    </xf>
    <xf numFmtId="167" fontId="25" fillId="0" borderId="19" xfId="0" applyNumberFormat="1" applyFont="1" applyFill="1" applyBorder="1" applyAlignment="1">
      <alignment horizontal="right" vertical="center" wrapText="1"/>
    </xf>
    <xf numFmtId="164" fontId="26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5" fillId="0" borderId="0" xfId="0" applyFont="1" applyFill="1" applyAlignment="1">
      <alignment horizontal="center" vertical="center"/>
    </xf>
    <xf numFmtId="166" fontId="25" fillId="0" borderId="0" xfId="30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Alignment="1">
      <alignment horizontal="center" vertical="center"/>
    </xf>
    <xf numFmtId="164" fontId="29" fillId="0" borderId="0" xfId="0" applyFont="1" applyFill="1" applyAlignment="1">
      <alignment vertical="center"/>
    </xf>
    <xf numFmtId="164" fontId="25" fillId="0" borderId="19" xfId="0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67" fontId="20" fillId="0" borderId="18" xfId="0" applyNumberFormat="1" applyFont="1" applyFill="1" applyBorder="1" applyAlignment="1">
      <alignment horizontal="right" vertical="center" wrapText="1"/>
    </xf>
    <xf numFmtId="166" fontId="25" fillId="0" borderId="19" xfId="0" applyNumberFormat="1" applyFont="1" applyFill="1" applyBorder="1" applyAlignment="1">
      <alignment horizontal="center" vertical="center"/>
    </xf>
    <xf numFmtId="164" fontId="27" fillId="0" borderId="0" xfId="0" applyFont="1" applyFill="1" applyAlignment="1">
      <alignment vertical="center"/>
    </xf>
    <xf numFmtId="164" fontId="20" fillId="0" borderId="18" xfId="0" applyFont="1" applyFill="1" applyBorder="1" applyAlignment="1">
      <alignment horizontal="center" vertical="center" wrapText="1" shrinkToFit="1"/>
    </xf>
    <xf numFmtId="172" fontId="20" fillId="0" borderId="18" xfId="0" applyNumberFormat="1" applyFont="1" applyFill="1" applyBorder="1" applyAlignment="1">
      <alignment horizontal="center" vertical="center"/>
    </xf>
    <xf numFmtId="166" fontId="20" fillId="0" borderId="18" xfId="0" applyNumberFormat="1" applyFont="1" applyFill="1" applyBorder="1" applyAlignment="1">
      <alignment horizontal="center" vertical="center"/>
    </xf>
    <xf numFmtId="167" fontId="20" fillId="0" borderId="30" xfId="0" applyNumberFormat="1" applyFont="1" applyFill="1" applyBorder="1" applyAlignment="1">
      <alignment horizontal="right" vertical="center" wrapText="1"/>
    </xf>
    <xf numFmtId="167" fontId="30" fillId="0" borderId="0" xfId="0" applyNumberFormat="1" applyFont="1" applyFill="1" applyBorder="1" applyAlignment="1">
      <alignment/>
    </xf>
    <xf numFmtId="167" fontId="31" fillId="0" borderId="0" xfId="0" applyNumberFormat="1" applyFont="1" applyFill="1" applyBorder="1" applyAlignment="1">
      <alignment vertical="center" wrapText="1"/>
    </xf>
    <xf numFmtId="164" fontId="24" fillId="0" borderId="18" xfId="0" applyFont="1" applyFill="1" applyBorder="1" applyAlignment="1">
      <alignment horizontal="center" vertical="center" wrapText="1" shrinkToFit="1"/>
    </xf>
    <xf numFmtId="172" fontId="24" fillId="0" borderId="18" xfId="0" applyNumberFormat="1" applyFont="1" applyFill="1" applyBorder="1" applyAlignment="1">
      <alignment horizontal="center" vertical="center"/>
    </xf>
    <xf numFmtId="164" fontId="24" fillId="0" borderId="18" xfId="0" applyFont="1" applyFill="1" applyBorder="1" applyAlignment="1">
      <alignment horizontal="center" vertical="center" wrapText="1"/>
    </xf>
    <xf numFmtId="166" fontId="24" fillId="0" borderId="18" xfId="0" applyNumberFormat="1" applyFont="1" applyFill="1" applyBorder="1" applyAlignment="1">
      <alignment horizontal="center" vertical="center"/>
    </xf>
    <xf numFmtId="164" fontId="32" fillId="0" borderId="0" xfId="0" applyFont="1" applyFill="1" applyAlignment="1">
      <alignment/>
    </xf>
    <xf numFmtId="164" fontId="32" fillId="0" borderId="0" xfId="0" applyFont="1" applyFill="1" applyBorder="1" applyAlignment="1">
      <alignment/>
    </xf>
    <xf numFmtId="164" fontId="27" fillId="0" borderId="0" xfId="0" applyFont="1" applyFill="1" applyAlignment="1">
      <alignment horizontal="center" vertical="center"/>
    </xf>
    <xf numFmtId="164" fontId="25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 vertical="center"/>
    </xf>
    <xf numFmtId="164" fontId="1" fillId="0" borderId="0" xfId="27" applyFont="1" applyFill="1" applyAlignment="1">
      <alignment horizontal="left" vertical="center"/>
      <protection/>
    </xf>
    <xf numFmtId="164" fontId="27" fillId="0" borderId="0" xfId="27" applyFont="1" applyFill="1" applyAlignment="1">
      <alignment horizontal="center" vertical="center"/>
      <protection/>
    </xf>
    <xf numFmtId="164" fontId="1" fillId="0" borderId="0" xfId="27" applyFont="1" applyFill="1" applyAlignment="1">
      <alignment horizontal="center" vertical="center"/>
      <protection/>
    </xf>
    <xf numFmtId="164" fontId="1" fillId="0" borderId="0" xfId="27" applyFont="1" applyFill="1" applyAlignment="1">
      <alignment vertical="center"/>
      <protection/>
    </xf>
    <xf numFmtId="164" fontId="33" fillId="0" borderId="0" xfId="0" applyFont="1" applyFill="1" applyBorder="1" applyAlignment="1">
      <alignment horizontal="right" vertical="center" wrapText="1"/>
    </xf>
    <xf numFmtId="165" fontId="18" fillId="0" borderId="0" xfId="0" applyNumberFormat="1" applyFont="1" applyFill="1" applyAlignment="1">
      <alignment horizontal="right" vertical="center"/>
    </xf>
    <xf numFmtId="164" fontId="0" fillId="0" borderId="0" xfId="0" applyFill="1" applyAlignment="1">
      <alignment horizontal="right" vertical="center"/>
    </xf>
    <xf numFmtId="167" fontId="0" fillId="0" borderId="0" xfId="0" applyNumberFormat="1" applyFill="1" applyAlignment="1">
      <alignment horizontal="right" vertical="center"/>
    </xf>
    <xf numFmtId="167" fontId="0" fillId="0" borderId="0" xfId="0" applyNumberFormat="1" applyFont="1" applyFill="1" applyAlignment="1">
      <alignment horizontal="center" vertical="center"/>
    </xf>
    <xf numFmtId="164" fontId="34" fillId="0" borderId="0" xfId="27" applyFont="1" applyFill="1" applyAlignment="1">
      <alignment horizontal="left" vertical="center"/>
      <protection/>
    </xf>
    <xf numFmtId="164" fontId="29" fillId="0" borderId="0" xfId="27" applyFont="1" applyFill="1" applyAlignment="1">
      <alignment horizontal="center" vertical="center"/>
      <protection/>
    </xf>
    <xf numFmtId="164" fontId="34" fillId="0" borderId="0" xfId="27" applyFont="1" applyFill="1" applyAlignment="1">
      <alignment horizontal="center" vertical="center"/>
      <protection/>
    </xf>
    <xf numFmtId="164" fontId="34" fillId="0" borderId="0" xfId="27" applyFont="1" applyFill="1" applyAlignment="1">
      <alignment vertical="center"/>
      <protection/>
    </xf>
    <xf numFmtId="164" fontId="17" fillId="0" borderId="0" xfId="0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horizontal="right" vertical="center"/>
    </xf>
    <xf numFmtId="164" fontId="35" fillId="0" borderId="0" xfId="0" applyFont="1" applyFill="1" applyAlignment="1">
      <alignment/>
    </xf>
    <xf numFmtId="164" fontId="35" fillId="0" borderId="0" xfId="0" applyFont="1" applyFill="1" applyAlignment="1">
      <alignment horizontal="left" vertical="center"/>
    </xf>
    <xf numFmtId="164" fontId="36" fillId="0" borderId="0" xfId="0" applyFont="1" applyFill="1" applyAlignment="1">
      <alignment horizontal="center" vertical="center"/>
    </xf>
    <xf numFmtId="164" fontId="35" fillId="0" borderId="0" xfId="0" applyFont="1" applyFill="1" applyAlignment="1">
      <alignment horizontal="center" vertical="center"/>
    </xf>
    <xf numFmtId="164" fontId="35" fillId="0" borderId="0" xfId="0" applyFont="1" applyFill="1" applyAlignment="1">
      <alignment vertical="center"/>
    </xf>
    <xf numFmtId="164" fontId="35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165" fontId="17" fillId="0" borderId="0" xfId="0" applyNumberFormat="1" applyFont="1" applyFill="1" applyAlignment="1">
      <alignment horizontal="right" vertical="center"/>
    </xf>
    <xf numFmtId="167" fontId="0" fillId="0" borderId="0" xfId="0" applyNumberFormat="1" applyFill="1" applyAlignment="1">
      <alignment horizontal="right"/>
    </xf>
    <xf numFmtId="164" fontId="0" fillId="0" borderId="40" xfId="0" applyFill="1" applyBorder="1" applyAlignment="1">
      <alignment horizontal="center" vertical="center"/>
    </xf>
    <xf numFmtId="164" fontId="37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 horizontal="center"/>
    </xf>
    <xf numFmtId="164" fontId="0" fillId="0" borderId="0" xfId="0" applyFill="1" applyAlignment="1">
      <alignment horizontal="left"/>
    </xf>
    <xf numFmtId="164" fontId="14" fillId="0" borderId="0" xfId="0" applyFont="1" applyFill="1" applyAlignment="1">
      <alignment horizontal="right"/>
    </xf>
    <xf numFmtId="164" fontId="38" fillId="0" borderId="0" xfId="0" applyFont="1" applyFill="1" applyAlignment="1">
      <alignment horizontal="left" vertical="center"/>
    </xf>
    <xf numFmtId="164" fontId="14" fillId="0" borderId="0" xfId="0" applyFont="1" applyFill="1" applyAlignment="1">
      <alignment horizontal="left"/>
    </xf>
    <xf numFmtId="164" fontId="0" fillId="0" borderId="41" xfId="0" applyFill="1" applyBorder="1" applyAlignment="1">
      <alignment horizontal="left"/>
    </xf>
    <xf numFmtId="164" fontId="39" fillId="0" borderId="0" xfId="0" applyFont="1" applyFill="1" applyAlignment="1">
      <alignment horizontal="center" vertical="center"/>
    </xf>
    <xf numFmtId="164" fontId="39" fillId="0" borderId="0" xfId="0" applyFont="1" applyFill="1" applyAlignment="1">
      <alignment horizontal="center"/>
    </xf>
    <xf numFmtId="164" fontId="20" fillId="0" borderId="18" xfId="0" applyFont="1" applyFill="1" applyBorder="1" applyAlignment="1">
      <alignment horizontal="right" vertical="center" wrapText="1"/>
    </xf>
    <xf numFmtId="164" fontId="25" fillId="0" borderId="39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/>
    </xf>
    <xf numFmtId="164" fontId="40" fillId="0" borderId="0" xfId="0" applyFont="1" applyFill="1" applyAlignment="1">
      <alignment horizontal="center"/>
    </xf>
    <xf numFmtId="164" fontId="40" fillId="0" borderId="42" xfId="0" applyFont="1" applyFill="1" applyBorder="1" applyAlignment="1">
      <alignment horizontal="center"/>
    </xf>
    <xf numFmtId="164" fontId="23" fillId="0" borderId="18" xfId="0" applyNumberFormat="1" applyFont="1" applyFill="1" applyBorder="1" applyAlignment="1">
      <alignment horizontal="center"/>
    </xf>
    <xf numFmtId="167" fontId="23" fillId="0" borderId="18" xfId="0" applyNumberFormat="1" applyFont="1" applyFill="1" applyBorder="1" applyAlignment="1">
      <alignment horizontal="right" vertical="center"/>
    </xf>
    <xf numFmtId="167" fontId="24" fillId="0" borderId="18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23" fillId="0" borderId="18" xfId="0" applyFont="1" applyFill="1" applyBorder="1" applyAlignment="1">
      <alignment horizontal="left" vertical="center"/>
    </xf>
    <xf numFmtId="164" fontId="23" fillId="0" borderId="18" xfId="0" applyFont="1" applyFill="1" applyBorder="1" applyAlignment="1">
      <alignment horizontal="center"/>
    </xf>
    <xf numFmtId="164" fontId="23" fillId="0" borderId="18" xfId="0" applyFont="1" applyFill="1" applyBorder="1" applyAlignment="1">
      <alignment horizontal="left" wrapText="1"/>
    </xf>
    <xf numFmtId="164" fontId="23" fillId="0" borderId="0" xfId="0" applyFont="1" applyFill="1" applyAlignment="1">
      <alignment horizontal="left"/>
    </xf>
    <xf numFmtId="164" fontId="23" fillId="0" borderId="35" xfId="0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right" vertical="center"/>
    </xf>
    <xf numFmtId="167" fontId="20" fillId="0" borderId="18" xfId="0" applyNumberFormat="1" applyFont="1" applyFill="1" applyBorder="1" applyAlignment="1">
      <alignment horizontal="right" vertical="center"/>
    </xf>
    <xf numFmtId="164" fontId="23" fillId="0" borderId="18" xfId="0" applyFont="1" applyFill="1" applyBorder="1" applyAlignment="1">
      <alignment horizontal="left"/>
    </xf>
    <xf numFmtId="171" fontId="25" fillId="0" borderId="18" xfId="0" applyNumberFormat="1" applyFont="1" applyFill="1" applyBorder="1" applyAlignment="1">
      <alignment horizontal="center" vertical="center"/>
    </xf>
    <xf numFmtId="164" fontId="21" fillId="0" borderId="18" xfId="0" applyFont="1" applyFill="1" applyBorder="1" applyAlignment="1">
      <alignment horizontal="center" vertical="center"/>
    </xf>
    <xf numFmtId="164" fontId="23" fillId="0" borderId="18" xfId="0" applyFont="1" applyFill="1" applyBorder="1" applyAlignment="1">
      <alignment wrapText="1"/>
    </xf>
    <xf numFmtId="171" fontId="23" fillId="0" borderId="18" xfId="0" applyNumberFormat="1" applyFont="1" applyFill="1" applyBorder="1" applyAlignment="1">
      <alignment horizontal="center"/>
    </xf>
    <xf numFmtId="164" fontId="25" fillId="0" borderId="0" xfId="0" applyFont="1" applyFill="1" applyAlignment="1">
      <alignment horizontal="left"/>
    </xf>
    <xf numFmtId="171" fontId="23" fillId="0" borderId="18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vertical="center"/>
    </xf>
    <xf numFmtId="167" fontId="23" fillId="0" borderId="19" xfId="0" applyNumberFormat="1" applyFont="1" applyFill="1" applyBorder="1" applyAlignment="1">
      <alignment vertical="center"/>
    </xf>
    <xf numFmtId="167" fontId="23" fillId="0" borderId="18" xfId="0" applyNumberFormat="1" applyFont="1" applyFill="1" applyBorder="1" applyAlignment="1">
      <alignment vertical="center"/>
    </xf>
    <xf numFmtId="164" fontId="25" fillId="0" borderId="0" xfId="0" applyFont="1" applyFill="1" applyBorder="1" applyAlignment="1" applyProtection="1">
      <alignment horizontal="center" vertical="center"/>
      <protection/>
    </xf>
    <xf numFmtId="167" fontId="25" fillId="0" borderId="18" xfId="0" applyNumberFormat="1" applyFont="1" applyFill="1" applyBorder="1" applyAlignment="1">
      <alignment vertical="center"/>
    </xf>
    <xf numFmtId="164" fontId="25" fillId="0" borderId="18" xfId="0" applyFont="1" applyFill="1" applyBorder="1" applyAlignment="1">
      <alignment horizontal="center"/>
    </xf>
    <xf numFmtId="164" fontId="25" fillId="0" borderId="18" xfId="0" applyFont="1" applyFill="1" applyBorder="1" applyAlignment="1">
      <alignment horizontal="center" wrapText="1"/>
    </xf>
    <xf numFmtId="172" fontId="25" fillId="0" borderId="18" xfId="0" applyNumberFormat="1" applyFont="1" applyFill="1" applyBorder="1" applyAlignment="1">
      <alignment horizontal="center" vertical="center"/>
    </xf>
    <xf numFmtId="167" fontId="25" fillId="0" borderId="19" xfId="0" applyNumberFormat="1" applyFont="1" applyFill="1" applyBorder="1" applyAlignment="1">
      <alignment vertical="center"/>
    </xf>
    <xf numFmtId="167" fontId="25" fillId="0" borderId="0" xfId="0" applyNumberFormat="1" applyFont="1" applyFill="1" applyAlignment="1">
      <alignment/>
    </xf>
    <xf numFmtId="164" fontId="23" fillId="0" borderId="18" xfId="0" applyFont="1" applyFill="1" applyBorder="1" applyAlignment="1">
      <alignment horizontal="center" wrapText="1"/>
    </xf>
    <xf numFmtId="167" fontId="23" fillId="0" borderId="0" xfId="0" applyNumberFormat="1" applyFont="1" applyFill="1" applyAlignment="1">
      <alignment/>
    </xf>
    <xf numFmtId="164" fontId="41" fillId="0" borderId="0" xfId="0" applyFont="1" applyFill="1" applyAlignment="1">
      <alignment vertical="center"/>
    </xf>
    <xf numFmtId="164" fontId="30" fillId="0" borderId="0" xfId="0" applyFont="1" applyFill="1" applyAlignment="1">
      <alignment vertical="center"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25" fillId="6" borderId="0" xfId="0" applyFont="1" applyFill="1" applyAlignment="1">
      <alignment vertical="center"/>
    </xf>
    <xf numFmtId="167" fontId="25" fillId="6" borderId="0" xfId="0" applyNumberFormat="1" applyFont="1" applyFill="1" applyAlignment="1">
      <alignment/>
    </xf>
    <xf numFmtId="164" fontId="41" fillId="6" borderId="0" xfId="0" applyFont="1" applyFill="1" applyAlignment="1">
      <alignment vertical="center"/>
    </xf>
    <xf numFmtId="164" fontId="42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7" fontId="16" fillId="0" borderId="0" xfId="0" applyNumberFormat="1" applyFont="1" applyFill="1" applyAlignment="1">
      <alignment/>
    </xf>
    <xf numFmtId="164" fontId="16" fillId="0" borderId="0" xfId="0" applyFont="1" applyFill="1" applyAlignment="1">
      <alignment horizontal="left"/>
    </xf>
    <xf numFmtId="164" fontId="32" fillId="0" borderId="0" xfId="0" applyFont="1" applyFill="1" applyAlignment="1">
      <alignment horizontal="left"/>
    </xf>
    <xf numFmtId="164" fontId="39" fillId="0" borderId="0" xfId="0" applyFont="1" applyFill="1" applyAlignment="1">
      <alignment/>
    </xf>
    <xf numFmtId="164" fontId="1" fillId="0" borderId="0" xfId="27" applyFont="1" applyFill="1" applyBorder="1" applyAlignment="1">
      <alignment horizontal="left" vertical="center"/>
      <protection/>
    </xf>
    <xf numFmtId="164" fontId="37" fillId="0" borderId="0" xfId="0" applyFont="1" applyFill="1" applyAlignment="1">
      <alignment horizontal="center"/>
    </xf>
    <xf numFmtId="164" fontId="37" fillId="0" borderId="0" xfId="0" applyFont="1" applyFill="1" applyAlignment="1">
      <alignment horizontal="left"/>
    </xf>
    <xf numFmtId="165" fontId="19" fillId="0" borderId="0" xfId="0" applyNumberFormat="1" applyFont="1" applyFill="1" applyAlignment="1">
      <alignment horizontal="right"/>
    </xf>
    <xf numFmtId="164" fontId="43" fillId="0" borderId="0" xfId="0" applyFont="1" applyFill="1" applyBorder="1" applyAlignment="1">
      <alignment horizontal="right" vertical="center"/>
    </xf>
    <xf numFmtId="167" fontId="19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left" vertical="center"/>
    </xf>
    <xf numFmtId="167" fontId="37" fillId="0" borderId="0" xfId="0" applyNumberFormat="1" applyFont="1" applyFill="1" applyAlignment="1">
      <alignment horizontal="left"/>
    </xf>
    <xf numFmtId="164" fontId="19" fillId="0" borderId="0" xfId="0" applyFont="1" applyFill="1" applyAlignment="1">
      <alignment horizontal="left"/>
    </xf>
    <xf numFmtId="164" fontId="37" fillId="0" borderId="0" xfId="0" applyFont="1" applyFill="1" applyBorder="1" applyAlignment="1">
      <alignment horizontal="left"/>
    </xf>
    <xf numFmtId="164" fontId="34" fillId="0" borderId="0" xfId="27" applyFont="1" applyFill="1" applyBorder="1" applyAlignment="1">
      <alignment horizontal="left" vertical="center"/>
      <protection/>
    </xf>
    <xf numFmtId="167" fontId="19" fillId="0" borderId="0" xfId="0" applyNumberFormat="1" applyFont="1" applyFill="1" applyAlignment="1">
      <alignment horizontal="left"/>
    </xf>
    <xf numFmtId="164" fontId="19" fillId="0" borderId="0" xfId="0" applyFont="1" applyFill="1" applyAlignment="1">
      <alignment horizontal="right"/>
    </xf>
    <xf numFmtId="164" fontId="43" fillId="0" borderId="0" xfId="0" applyFont="1" applyFill="1" applyAlignment="1">
      <alignment horizontal="left" vertical="center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/>
    </xf>
    <xf numFmtId="164" fontId="0" fillId="0" borderId="0" xfId="0" applyFill="1" applyBorder="1" applyAlignment="1">
      <alignment horizontal="left"/>
    </xf>
    <xf numFmtId="164" fontId="35" fillId="0" borderId="0" xfId="0" applyFont="1" applyFill="1" applyBorder="1" applyAlignment="1">
      <alignment horizontal="left" vertical="center"/>
    </xf>
    <xf numFmtId="167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center"/>
    </xf>
    <xf numFmtId="164" fontId="18" fillId="0" borderId="0" xfId="0" applyFont="1" applyFill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14" fillId="0" borderId="0" xfId="0" applyFont="1" applyFill="1" applyAlignment="1">
      <alignment vertical="center"/>
    </xf>
    <xf numFmtId="164" fontId="0" fillId="0" borderId="41" xfId="0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44" fillId="0" borderId="18" xfId="0" applyFont="1" applyFill="1" applyBorder="1" applyAlignment="1">
      <alignment horizontal="center" vertical="center" wrapText="1"/>
    </xf>
    <xf numFmtId="164" fontId="44" fillId="0" borderId="19" xfId="0" applyFont="1" applyFill="1" applyBorder="1" applyAlignment="1">
      <alignment horizontal="center" vertical="center" wrapText="1"/>
    </xf>
    <xf numFmtId="164" fontId="40" fillId="0" borderId="0" xfId="0" applyFont="1" applyFill="1" applyAlignment="1">
      <alignment vertical="center"/>
    </xf>
    <xf numFmtId="167" fontId="24" fillId="0" borderId="19" xfId="0" applyNumberFormat="1" applyFont="1" applyFill="1" applyBorder="1" applyAlignment="1">
      <alignment vertical="center"/>
    </xf>
    <xf numFmtId="167" fontId="20" fillId="0" borderId="19" xfId="0" applyNumberFormat="1" applyFont="1" applyFill="1" applyBorder="1" applyAlignment="1">
      <alignment vertical="center"/>
    </xf>
    <xf numFmtId="167" fontId="23" fillId="0" borderId="8" xfId="0" applyNumberFormat="1" applyFont="1" applyFill="1" applyBorder="1" applyAlignment="1">
      <alignment vertical="center" wrapText="1"/>
    </xf>
    <xf numFmtId="167" fontId="23" fillId="0" borderId="18" xfId="0" applyNumberFormat="1" applyFont="1" applyFill="1" applyBorder="1" applyAlignment="1">
      <alignment vertical="center" wrapText="1"/>
    </xf>
    <xf numFmtId="167" fontId="23" fillId="0" borderId="19" xfId="0" applyNumberFormat="1" applyFont="1" applyFill="1" applyBorder="1" applyAlignment="1">
      <alignment vertical="center" wrapText="1"/>
    </xf>
    <xf numFmtId="167" fontId="25" fillId="0" borderId="8" xfId="0" applyNumberFormat="1" applyFont="1" applyFill="1" applyBorder="1" applyAlignment="1">
      <alignment vertical="center" wrapText="1"/>
    </xf>
    <xf numFmtId="167" fontId="25" fillId="0" borderId="18" xfId="0" applyNumberFormat="1" applyFont="1" applyFill="1" applyBorder="1" applyAlignment="1">
      <alignment vertical="center" wrapText="1"/>
    </xf>
    <xf numFmtId="167" fontId="25" fillId="0" borderId="19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center" vertical="center"/>
    </xf>
    <xf numFmtId="167" fontId="44" fillId="0" borderId="18" xfId="0" applyNumberFormat="1" applyFont="1" applyFill="1" applyBorder="1" applyAlignment="1">
      <alignment horizontal="right" vertical="center" wrapText="1"/>
    </xf>
    <xf numFmtId="167" fontId="44" fillId="0" borderId="18" xfId="0" applyNumberFormat="1" applyFont="1" applyFill="1" applyBorder="1" applyAlignment="1">
      <alignment vertical="center" wrapText="1"/>
    </xf>
    <xf numFmtId="164" fontId="40" fillId="0" borderId="0" xfId="0" applyFont="1" applyFill="1" applyAlignment="1">
      <alignment/>
    </xf>
    <xf numFmtId="164" fontId="37" fillId="0" borderId="0" xfId="0" applyFont="1" applyFill="1" applyAlignment="1">
      <alignment vertical="center"/>
    </xf>
    <xf numFmtId="167" fontId="24" fillId="0" borderId="18" xfId="0" applyNumberFormat="1" applyFont="1" applyFill="1" applyBorder="1" applyAlignment="1">
      <alignment vertical="center" wrapText="1"/>
    </xf>
    <xf numFmtId="164" fontId="45" fillId="0" borderId="0" xfId="0" applyFont="1" applyFill="1" applyAlignment="1">
      <alignment vertical="center"/>
    </xf>
    <xf numFmtId="164" fontId="15" fillId="0" borderId="0" xfId="0" applyFont="1" applyFill="1" applyAlignment="1">
      <alignment vertical="center"/>
    </xf>
    <xf numFmtId="164" fontId="33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64" fontId="27" fillId="0" borderId="0" xfId="27" applyFont="1" applyFill="1" applyAlignment="1">
      <alignment horizontal="left" vertical="center"/>
      <protection/>
    </xf>
    <xf numFmtId="167" fontId="18" fillId="0" borderId="0" xfId="0" applyNumberFormat="1" applyFont="1" applyFill="1" applyAlignment="1">
      <alignment horizontal="center" vertical="center"/>
    </xf>
    <xf numFmtId="164" fontId="29" fillId="0" borderId="0" xfId="27" applyFont="1" applyFill="1" applyAlignment="1">
      <alignment horizontal="left" vertical="center"/>
      <protection/>
    </xf>
    <xf numFmtId="167" fontId="0" fillId="0" borderId="0" xfId="0" applyNumberFormat="1" applyFill="1" applyAlignment="1">
      <alignment vertical="center"/>
    </xf>
    <xf numFmtId="164" fontId="14" fillId="0" borderId="0" xfId="0" applyFont="1" applyFill="1" applyAlignment="1">
      <alignment/>
    </xf>
    <xf numFmtId="164" fontId="46" fillId="0" borderId="0" xfId="0" applyFont="1" applyFill="1" applyAlignment="1">
      <alignment horizontal="right" vertical="center"/>
    </xf>
    <xf numFmtId="164" fontId="46" fillId="0" borderId="0" xfId="0" applyFont="1" applyFill="1" applyAlignment="1">
      <alignment vertical="center"/>
    </xf>
    <xf numFmtId="167" fontId="41" fillId="0" borderId="0" xfId="0" applyNumberFormat="1" applyFont="1" applyFill="1" applyBorder="1" applyAlignment="1">
      <alignment horizontal="left"/>
    </xf>
    <xf numFmtId="164" fontId="41" fillId="0" borderId="0" xfId="0" applyFont="1" applyFill="1" applyBorder="1" applyAlignment="1">
      <alignment horizontal="left"/>
    </xf>
    <xf numFmtId="167" fontId="41" fillId="0" borderId="43" xfId="0" applyNumberFormat="1" applyFont="1" applyFill="1" applyBorder="1" applyAlignment="1">
      <alignment horizontal="left"/>
    </xf>
    <xf numFmtId="164" fontId="41" fillId="0" borderId="0" xfId="0" applyFont="1" applyFill="1" applyAlignment="1">
      <alignment horizontal="left"/>
    </xf>
    <xf numFmtId="164" fontId="25" fillId="0" borderId="18" xfId="0" applyFont="1" applyFill="1" applyBorder="1" applyAlignment="1">
      <alignment horizontal="left" vertical="center"/>
    </xf>
    <xf numFmtId="167" fontId="24" fillId="0" borderId="18" xfId="0" applyNumberFormat="1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7" fontId="30" fillId="0" borderId="43" xfId="0" applyNumberFormat="1" applyFont="1" applyFill="1" applyBorder="1" applyAlignment="1">
      <alignment horizontal="left"/>
    </xf>
    <xf numFmtId="164" fontId="30" fillId="0" borderId="0" xfId="0" applyFont="1" applyFill="1" applyAlignment="1">
      <alignment horizontal="left"/>
    </xf>
    <xf numFmtId="167" fontId="20" fillId="0" borderId="18" xfId="0" applyNumberFormat="1" applyFont="1" applyFill="1" applyBorder="1" applyAlignment="1">
      <alignment vertical="center"/>
    </xf>
    <xf numFmtId="167" fontId="20" fillId="0" borderId="18" xfId="0" applyNumberFormat="1" applyFont="1" applyFill="1" applyBorder="1" applyAlignment="1">
      <alignment vertical="center" wrapText="1"/>
    </xf>
    <xf numFmtId="164" fontId="1" fillId="0" borderId="0" xfId="0" applyFont="1" applyFill="1" applyAlignment="1">
      <alignment vertical="center"/>
    </xf>
    <xf numFmtId="164" fontId="47" fillId="0" borderId="0" xfId="0" applyFont="1" applyFill="1" applyAlignment="1">
      <alignment horizontal="right"/>
    </xf>
    <xf numFmtId="164" fontId="47" fillId="0" borderId="0" xfId="0" applyFont="1" applyFill="1" applyAlignment="1">
      <alignment/>
    </xf>
    <xf numFmtId="164" fontId="25" fillId="0" borderId="0" xfId="0" applyFont="1" applyFill="1" applyBorder="1" applyAlignment="1">
      <alignment vertical="center" shrinkToFit="1"/>
    </xf>
    <xf numFmtId="164" fontId="20" fillId="0" borderId="0" xfId="0" applyFont="1" applyFill="1" applyAlignment="1">
      <alignment horizontal="right" vertical="center"/>
    </xf>
    <xf numFmtId="164" fontId="20" fillId="0" borderId="0" xfId="0" applyFont="1" applyFill="1" applyAlignment="1">
      <alignment vertical="center"/>
    </xf>
    <xf numFmtId="167" fontId="25" fillId="0" borderId="0" xfId="0" applyNumberFormat="1" applyFont="1" applyFill="1" applyAlignment="1">
      <alignment vertical="center"/>
    </xf>
    <xf numFmtId="164" fontId="42" fillId="0" borderId="0" xfId="0" applyFont="1" applyFill="1" applyAlignment="1">
      <alignment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Dziesiętny 2 2" xfId="21"/>
    <cellStyle name="Dziesiętny 2 3" xfId="22"/>
    <cellStyle name="Dziesiętny 3" xfId="23"/>
    <cellStyle name="Dziesiętny 4" xfId="24"/>
    <cellStyle name="Normalny 2" xfId="25"/>
    <cellStyle name="Normalny 2 2" xfId="26"/>
    <cellStyle name="Normalny 3" xfId="27"/>
    <cellStyle name="Normalny 4" xfId="28"/>
    <cellStyle name="Normalny 5" xfId="29"/>
    <cellStyle name="Procentowy 2" xfId="3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view="pageBreakPreview" zoomScaleSheetLayoutView="100" workbookViewId="0" topLeftCell="A25">
      <selection activeCell="A1" sqref="A1"/>
    </sheetView>
  </sheetViews>
  <sheetFormatPr defaultColWidth="9.140625" defaultRowHeight="15"/>
  <cols>
    <col min="1" max="1" width="32.140625" style="1" customWidth="1"/>
    <col min="2" max="2" width="10.7109375" style="2" customWidth="1"/>
    <col min="3" max="5" width="20.7109375" style="1" customWidth="1"/>
    <col min="6" max="6" width="17.421875" style="1" customWidth="1"/>
    <col min="7" max="15" width="15.7109375" style="1" customWidth="1"/>
    <col min="16" max="16" width="9.140625" style="1" customWidth="1"/>
    <col min="17" max="17" width="11.7109375" style="1" customWidth="1"/>
  </cols>
  <sheetData>
    <row r="1" spans="1:24" s="7" customFormat="1" ht="30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s="12" customFormat="1" ht="14.25" customHeight="1">
      <c r="A2" s="8"/>
      <c r="B2" s="9"/>
      <c r="C2" s="8"/>
      <c r="D2" s="8"/>
      <c r="E2" s="8"/>
      <c r="F2" s="10" t="s">
        <v>1</v>
      </c>
      <c r="G2" s="10"/>
      <c r="H2" s="10"/>
      <c r="I2" s="10"/>
      <c r="J2" s="10"/>
      <c r="K2" s="10"/>
      <c r="L2" s="10"/>
      <c r="M2" s="10"/>
      <c r="N2" s="10"/>
      <c r="O2" s="8"/>
      <c r="P2" s="8"/>
      <c r="Q2" s="8"/>
      <c r="R2" s="11"/>
      <c r="S2" s="11"/>
      <c r="T2" s="11"/>
      <c r="U2" s="11"/>
      <c r="V2" s="11"/>
      <c r="W2" s="11"/>
      <c r="X2" s="11"/>
    </row>
    <row r="3" spans="1:24" s="12" customFormat="1" ht="12.75">
      <c r="A3" s="13"/>
      <c r="B3" s="9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0"/>
      <c r="O3" s="14"/>
      <c r="P3" s="14"/>
      <c r="Q3" s="14"/>
      <c r="X3" s="11"/>
    </row>
    <row r="4" spans="1:24" s="12" customFormat="1" ht="12.75">
      <c r="A4" s="15" t="s">
        <v>2</v>
      </c>
      <c r="B4" s="16"/>
      <c r="C4" s="17"/>
      <c r="D4" s="17"/>
      <c r="E4" s="17"/>
      <c r="F4" s="10"/>
      <c r="G4" s="10"/>
      <c r="H4" s="10"/>
      <c r="I4" s="10"/>
      <c r="J4" s="10"/>
      <c r="K4" s="10"/>
      <c r="L4" s="10"/>
      <c r="M4" s="10"/>
      <c r="N4" s="10"/>
      <c r="O4" s="14"/>
      <c r="P4" s="14"/>
      <c r="Q4" s="14"/>
      <c r="X4" s="18"/>
    </row>
    <row r="5" spans="1:24" s="12" customFormat="1" ht="12.75">
      <c r="A5" s="17"/>
      <c r="B5" s="16"/>
      <c r="C5" s="17"/>
      <c r="D5" s="17"/>
      <c r="E5" s="17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14"/>
      <c r="X5" s="11"/>
    </row>
    <row r="6" spans="1:24" s="12" customFormat="1" ht="12.75">
      <c r="A6" s="15" t="s">
        <v>3</v>
      </c>
      <c r="B6" s="16"/>
      <c r="C6" s="19"/>
      <c r="D6" s="20"/>
      <c r="E6" s="21"/>
      <c r="F6" s="10"/>
      <c r="G6" s="10"/>
      <c r="H6" s="10"/>
      <c r="I6" s="10"/>
      <c r="J6" s="10"/>
      <c r="K6" s="10"/>
      <c r="L6" s="10"/>
      <c r="M6" s="10"/>
      <c r="N6" s="10"/>
      <c r="O6" s="14"/>
      <c r="P6" s="14"/>
      <c r="Q6" s="14"/>
      <c r="X6" s="18"/>
    </row>
    <row r="7" spans="1:24" s="12" customFormat="1" ht="12.75">
      <c r="A7" s="17"/>
      <c r="B7" s="16"/>
      <c r="C7" s="21"/>
      <c r="D7" s="22"/>
      <c r="E7" s="21"/>
      <c r="F7" s="23"/>
      <c r="G7" s="23"/>
      <c r="H7" s="23"/>
      <c r="I7" s="23"/>
      <c r="J7" s="23"/>
      <c r="K7" s="23"/>
      <c r="L7" s="23"/>
      <c r="M7" s="23"/>
      <c r="N7" s="23"/>
      <c r="O7" s="14"/>
      <c r="P7" s="14"/>
      <c r="Q7" s="14"/>
      <c r="X7" s="11"/>
    </row>
    <row r="8" spans="1:24" s="12" customFormat="1" ht="17.25" customHeight="1">
      <c r="A8" s="17"/>
      <c r="B8" s="16"/>
      <c r="C8" s="21"/>
      <c r="D8" s="22"/>
      <c r="E8" s="21"/>
      <c r="F8" s="22"/>
      <c r="G8" s="16"/>
      <c r="H8" s="24"/>
      <c r="I8" s="24"/>
      <c r="J8" s="25"/>
      <c r="K8" s="25"/>
      <c r="L8" s="25"/>
      <c r="M8" s="25"/>
      <c r="N8" s="25"/>
      <c r="O8" s="26"/>
      <c r="P8" s="14"/>
      <c r="Q8" s="14"/>
      <c r="X8" s="11"/>
    </row>
    <row r="9" spans="1:24" s="12" customFormat="1" ht="18.75" customHeight="1">
      <c r="A9" s="17"/>
      <c r="B9" s="16"/>
      <c r="C9" s="17"/>
      <c r="D9" s="17"/>
      <c r="E9" s="21"/>
      <c r="F9" s="22"/>
      <c r="G9" s="25"/>
      <c r="H9" s="22"/>
      <c r="I9" s="22"/>
      <c r="J9" s="22"/>
      <c r="K9" s="22"/>
      <c r="L9" s="22"/>
      <c r="M9" s="22"/>
      <c r="N9" s="22"/>
      <c r="O9" s="22"/>
      <c r="P9" s="14"/>
      <c r="Q9" s="14"/>
      <c r="X9" s="11"/>
    </row>
    <row r="10" spans="1:24" s="12" customFormat="1" ht="27.75" customHeight="1">
      <c r="A10" s="17"/>
      <c r="B10" s="16"/>
      <c r="C10" s="17"/>
      <c r="D10" s="21"/>
      <c r="E10" s="21"/>
      <c r="F10" s="22"/>
      <c r="G10" s="25"/>
      <c r="H10" s="22"/>
      <c r="I10" s="22"/>
      <c r="J10" s="22"/>
      <c r="K10" s="22"/>
      <c r="L10" s="22"/>
      <c r="M10" s="22"/>
      <c r="N10" s="22"/>
      <c r="O10" s="22"/>
      <c r="P10" s="14"/>
      <c r="Q10" s="14"/>
      <c r="X10" s="11"/>
    </row>
    <row r="11" spans="1:24" s="12" customFormat="1" ht="19.5" customHeight="1">
      <c r="A11" s="15" t="s">
        <v>4</v>
      </c>
      <c r="B11" s="16"/>
      <c r="C11" s="17"/>
      <c r="E11" s="21"/>
      <c r="F11" s="27"/>
      <c r="G11" s="27"/>
      <c r="H11" s="27"/>
      <c r="I11" s="27"/>
      <c r="J11" s="24"/>
      <c r="K11" s="24"/>
      <c r="L11" s="24"/>
      <c r="M11" s="24"/>
      <c r="N11" s="24"/>
      <c r="O11" s="24"/>
      <c r="P11" s="14"/>
      <c r="Q11" s="14"/>
      <c r="X11" s="11"/>
    </row>
    <row r="12" spans="1:24" ht="19.5" customHeight="1">
      <c r="A12" s="28" t="s">
        <v>5</v>
      </c>
      <c r="B12" s="29" t="s">
        <v>6</v>
      </c>
      <c r="C12" s="30" t="s">
        <v>7</v>
      </c>
      <c r="D12" s="31" t="s">
        <v>8</v>
      </c>
      <c r="E12" s="32" t="s">
        <v>9</v>
      </c>
      <c r="F12" s="33" t="s">
        <v>10</v>
      </c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4"/>
      <c r="R12" s="35"/>
      <c r="S12" s="35"/>
      <c r="T12" s="35"/>
      <c r="U12" s="35"/>
      <c r="X12" s="36"/>
    </row>
    <row r="13" spans="1:24" s="2" customFormat="1" ht="19.5" customHeight="1">
      <c r="A13" s="28"/>
      <c r="B13" s="29"/>
      <c r="C13" s="30"/>
      <c r="D13" s="31"/>
      <c r="E13" s="32"/>
      <c r="F13" s="37">
        <v>2019</v>
      </c>
      <c r="G13" s="38">
        <v>2020</v>
      </c>
      <c r="H13" s="38">
        <v>2021</v>
      </c>
      <c r="I13" s="38">
        <v>2022</v>
      </c>
      <c r="J13" s="38">
        <v>2023</v>
      </c>
      <c r="K13" s="38">
        <v>2024</v>
      </c>
      <c r="L13" s="38">
        <v>2025</v>
      </c>
      <c r="M13" s="38">
        <v>2026</v>
      </c>
      <c r="N13" s="38">
        <v>2027</v>
      </c>
      <c r="O13" s="39">
        <v>2028</v>
      </c>
      <c r="P13" s="40"/>
      <c r="Q13" s="40"/>
      <c r="R13" s="40"/>
      <c r="S13" s="40"/>
      <c r="T13" s="40"/>
      <c r="U13" s="40"/>
      <c r="V13" s="41"/>
      <c r="W13" s="41"/>
      <c r="X13" s="41"/>
    </row>
    <row r="14" spans="1:24" ht="39.75" customHeight="1">
      <c r="A14" s="42" t="s">
        <v>11</v>
      </c>
      <c r="B14" s="43">
        <f>COUNTA('pow podst'!K3:K38)</f>
        <v>36</v>
      </c>
      <c r="C14" s="44">
        <f>SUM('pow podst'!J3:J38)</f>
        <v>303311722.23999995</v>
      </c>
      <c r="D14" s="45">
        <f>SUM('pow podst'!L3:L38)</f>
        <v>140406921.51</v>
      </c>
      <c r="E14" s="46">
        <f>SUM('pow podst'!K3:K38)</f>
        <v>162904800.73000002</v>
      </c>
      <c r="F14" s="47">
        <f>SUM('pow podst'!N3:N38)</f>
        <v>3687875</v>
      </c>
      <c r="G14" s="44">
        <f>SUM('pow podst'!O3:O38)</f>
        <v>16356215.049999999</v>
      </c>
      <c r="H14" s="44">
        <f>SUM('pow podst'!P3:P38)</f>
        <v>37922642.730000004</v>
      </c>
      <c r="I14" s="44">
        <f>SUM('pow podst'!Q3:Q38)</f>
        <v>75019564.32</v>
      </c>
      <c r="J14" s="44">
        <f>SUM('pow podst'!R3:R38)</f>
        <v>22622343.13</v>
      </c>
      <c r="K14" s="44">
        <f>SUM('pow podst'!S3:S38)</f>
        <v>7296160.5</v>
      </c>
      <c r="L14" s="44">
        <f>SUM('pow podst'!T3:T38)</f>
        <v>0</v>
      </c>
      <c r="M14" s="44">
        <f>SUM('pow podst'!U3:U38)</f>
        <v>0</v>
      </c>
      <c r="N14" s="44">
        <f>SUM('pow podst'!V3:V38)</f>
        <v>0</v>
      </c>
      <c r="O14" s="48">
        <f>SUM('pow podst'!W3:W38)</f>
        <v>0</v>
      </c>
      <c r="P14" s="49" t="b">
        <f>C14=(D14+E14)</f>
        <v>1</v>
      </c>
      <c r="Q14" s="50" t="b">
        <f>E14=SUM(F14:O14)</f>
        <v>1</v>
      </c>
      <c r="R14" s="51"/>
      <c r="S14" s="51"/>
      <c r="T14" s="52"/>
      <c r="U14" s="52"/>
      <c r="V14" s="53"/>
      <c r="W14" s="36"/>
      <c r="X14" s="36"/>
    </row>
    <row r="15" spans="1:24" ht="39.75" customHeight="1">
      <c r="A15" s="54" t="s">
        <v>12</v>
      </c>
      <c r="B15" s="55">
        <f>COUNTIF('pow podst'!C3:C38,"K")</f>
        <v>17</v>
      </c>
      <c r="C15" s="56">
        <f>SUMIF('pow podst'!C3:C38,"K",'pow podst'!J3:J38)</f>
        <v>175710112.23999998</v>
      </c>
      <c r="D15" s="57">
        <f>SUMIF('pow podst'!C3:C38,"K",'pow podst'!L3:L38)</f>
        <v>84791048.11</v>
      </c>
      <c r="E15" s="58">
        <f>SUMIF('pow podst'!C3:C38,"K",'pow podst'!K3:K38)</f>
        <v>90919064.13</v>
      </c>
      <c r="F15" s="59">
        <f>SUMIF('pow podst'!$C$3:$C$38,"K",'pow podst'!N3:N38)</f>
        <v>3687875</v>
      </c>
      <c r="G15" s="56">
        <f>SUMIF('pow podst'!$C$3:$C$38,"K",'pow podst'!O3:O38)</f>
        <v>16356215.049999999</v>
      </c>
      <c r="H15" s="56">
        <f>SUMIF('pow podst'!$C$3:$C$38,"K",'pow podst'!P3:P38)</f>
        <v>37922642.730000004</v>
      </c>
      <c r="I15" s="56">
        <f>SUMIF('pow podst'!$C$3:$C$38,"K",'pow podst'!Q3:Q38)</f>
        <v>31452331.22</v>
      </c>
      <c r="J15" s="56">
        <f>SUMIF('pow podst'!$C$3:$C$38,"K",'pow podst'!R3:R38)</f>
        <v>1500000.13</v>
      </c>
      <c r="K15" s="56">
        <f>SUMIF('pow podst'!$C$3:$C$38,"K",'pow podst'!S3:S38)</f>
        <v>0</v>
      </c>
      <c r="L15" s="56">
        <f>SUMIF('pow podst'!$C$3:$C$38,"K",'pow podst'!T3:T38)</f>
        <v>0</v>
      </c>
      <c r="M15" s="56">
        <f>SUMIF('pow podst'!$C$3:$C$38,"K",'pow podst'!U3:U38)</f>
        <v>0</v>
      </c>
      <c r="N15" s="56">
        <f>SUMIF('pow podst'!$C$3:$C$38,"K",'pow podst'!V3:V38)</f>
        <v>0</v>
      </c>
      <c r="O15" s="60">
        <f>SUMIF('pow podst'!$C$3:$C$38,"K",'pow podst'!W3:W38)</f>
        <v>0</v>
      </c>
      <c r="P15" s="49" t="b">
        <f aca="true" t="shared" si="0" ref="P15:P24">C15=(D15+E15)</f>
        <v>1</v>
      </c>
      <c r="Q15" s="50" t="b">
        <f aca="true" t="shared" si="1" ref="Q15:Q21">E15=SUM(F15:O15)</f>
        <v>1</v>
      </c>
      <c r="R15" s="51"/>
      <c r="S15" s="51"/>
      <c r="T15" s="52"/>
      <c r="U15" s="52"/>
      <c r="V15" s="53"/>
      <c r="W15" s="36"/>
      <c r="X15" s="36"/>
    </row>
    <row r="16" spans="1:24" ht="39.75" customHeight="1">
      <c r="A16" s="61" t="s">
        <v>13</v>
      </c>
      <c r="B16" s="62">
        <f>COUNTIF('pow podst'!C3:C38,"N")</f>
        <v>12</v>
      </c>
      <c r="C16" s="63">
        <f>SUMIF('pow podst'!C3:C38,"N",'pow podst'!J3:J38)</f>
        <v>50430099</v>
      </c>
      <c r="D16" s="64">
        <f>SUMIF('pow podst'!C3:C38,"N",'pow podst'!L3:L38)</f>
        <v>23772165.9</v>
      </c>
      <c r="E16" s="65">
        <f>SUMIF('pow podst'!C3:C38,"N",'pow podst'!K3:K38)</f>
        <v>26657933.1</v>
      </c>
      <c r="F16" s="66">
        <f>SUMIF('pow podst'!$C$3:$C$38,"N",'pow podst'!N3:N38)</f>
        <v>0</v>
      </c>
      <c r="G16" s="63">
        <f>SUMIF('pow podst'!$C$3:$C$38,"N",'pow podst'!O3:O38)</f>
        <v>0</v>
      </c>
      <c r="H16" s="63">
        <f>SUMIF('pow podst'!$C$3:$C$38,"N",'pow podst'!P3:P38)</f>
        <v>0</v>
      </c>
      <c r="I16" s="63">
        <f>SUMIF('pow podst'!$C$3:$C$38,"N",'pow podst'!Q3:Q38)</f>
        <v>26657933.1</v>
      </c>
      <c r="J16" s="63">
        <f>SUMIF('pow podst'!$C$3:$C$38,"N",'pow podst'!R3:R38)</f>
        <v>0</v>
      </c>
      <c r="K16" s="63">
        <f>SUMIF('pow podst'!$C$3:$C$38,"N",'pow podst'!S3:S38)</f>
        <v>0</v>
      </c>
      <c r="L16" s="63">
        <f>SUMIF('pow podst'!$C$3:$C$38,"N",'pow podst'!T3:T38)</f>
        <v>0</v>
      </c>
      <c r="M16" s="63">
        <f>SUMIF('pow podst'!$C$3:$C$38,"N",'pow podst'!U3:U38)</f>
        <v>0</v>
      </c>
      <c r="N16" s="63">
        <f>SUMIF('pow podst'!$C$3:$C$38,"N",'pow podst'!V3:V38)</f>
        <v>0</v>
      </c>
      <c r="O16" s="67">
        <f>SUMIF('pow podst'!$C$3:$C$38,"N",'pow podst'!W3:W38)</f>
        <v>0</v>
      </c>
      <c r="P16" s="49" t="b">
        <f t="shared" si="0"/>
        <v>1</v>
      </c>
      <c r="Q16" s="50" t="b">
        <f t="shared" si="1"/>
        <v>1</v>
      </c>
      <c r="R16" s="51"/>
      <c r="S16" s="51"/>
      <c r="T16" s="52"/>
      <c r="U16" s="52"/>
      <c r="V16" s="53"/>
      <c r="W16" s="36"/>
      <c r="X16" s="36"/>
    </row>
    <row r="17" spans="1:24" ht="39.75" customHeight="1">
      <c r="A17" s="68" t="s">
        <v>14</v>
      </c>
      <c r="B17" s="69">
        <f>COUNTIF('pow podst'!C3:C38,"W")</f>
        <v>7</v>
      </c>
      <c r="C17" s="70">
        <f>SUMIF('pow podst'!C3:C38,"W",'pow podst'!J3:J38)</f>
        <v>77171511</v>
      </c>
      <c r="D17" s="71">
        <f>SUMIF('pow podst'!C3:C38,"W",'pow podst'!L3:L38)</f>
        <v>31843707.5</v>
      </c>
      <c r="E17" s="72">
        <f>SUMIF('pow podst'!C3:C38,"W",'pow podst'!K3:K38)</f>
        <v>45327803.5</v>
      </c>
      <c r="F17" s="73">
        <f>SUMIF('pow podst'!$C$3:$C$38,"W",'pow podst'!N3:N38)</f>
        <v>0</v>
      </c>
      <c r="G17" s="70">
        <f>SUMIF('pow podst'!$C$3:$C$38,"W",'pow podst'!O3:O38)</f>
        <v>0</v>
      </c>
      <c r="H17" s="70">
        <f>SUMIF('pow podst'!$C$3:$C$38,"W",'pow podst'!P3:P38)</f>
        <v>0</v>
      </c>
      <c r="I17" s="70">
        <f>SUMIF('pow podst'!$C$3:$C$38,"W",'pow podst'!Q3:Q38)</f>
        <v>16909300</v>
      </c>
      <c r="J17" s="70">
        <f>SUMIF('pow podst'!$C$3:$C$38,"W",'pow podst'!R3:R38)</f>
        <v>21122343</v>
      </c>
      <c r="K17" s="70">
        <f>SUMIF('pow podst'!$C$3:$C$38,"W",'pow podst'!S3:S38)</f>
        <v>7296160.5</v>
      </c>
      <c r="L17" s="70">
        <f>SUMIF('pow podst'!$C$3:$C$38,"W",'pow podst'!T3:T38)</f>
        <v>0</v>
      </c>
      <c r="M17" s="70">
        <f>SUMIF('pow podst'!$C$3:$C$38,"W",'pow podst'!U3:U38)</f>
        <v>0</v>
      </c>
      <c r="N17" s="70">
        <f>SUMIF('pow podst'!$C$3:$C$38,"W",'pow podst'!V3:V38)</f>
        <v>0</v>
      </c>
      <c r="O17" s="74">
        <f>SUMIF('pow podst'!$C$3:$C$38,"W",'pow podst'!W3:W38)</f>
        <v>0</v>
      </c>
      <c r="P17" s="49" t="b">
        <f t="shared" si="0"/>
        <v>1</v>
      </c>
      <c r="Q17" s="50" t="b">
        <f t="shared" si="1"/>
        <v>1</v>
      </c>
      <c r="R17" s="51"/>
      <c r="S17" s="51"/>
      <c r="T17" s="52"/>
      <c r="U17" s="52"/>
      <c r="V17" s="53"/>
      <c r="W17" s="36"/>
      <c r="X17" s="36"/>
    </row>
    <row r="18" spans="1:24" ht="39.75" customHeight="1">
      <c r="A18" s="42" t="s">
        <v>15</v>
      </c>
      <c r="B18" s="43">
        <f>COUNTA('gm podst'!L3:L80)</f>
        <v>78</v>
      </c>
      <c r="C18" s="44">
        <f>SUM('gm podst'!K3:K80)</f>
        <v>251708220.79000002</v>
      </c>
      <c r="D18" s="45">
        <f>SUM('gm podst'!M3:M80)</f>
        <v>122537629.54</v>
      </c>
      <c r="E18" s="46">
        <f>SUM('gm podst'!L3:L80)</f>
        <v>129170591.25000001</v>
      </c>
      <c r="F18" s="75">
        <f>SUM('gm podst'!O3:O80)</f>
        <v>215964.8</v>
      </c>
      <c r="G18" s="75">
        <f>SUM('gm podst'!P3:P80)</f>
        <v>4955288.21</v>
      </c>
      <c r="H18" s="75">
        <f>SUM('gm podst'!Q3:Q80)</f>
        <v>20823469.049999997</v>
      </c>
      <c r="I18" s="75">
        <f>SUM('gm podst'!R3:R80)</f>
        <v>75031046.38</v>
      </c>
      <c r="J18" s="75">
        <f>SUM('gm podst'!S3:S80)</f>
        <v>25013246.310000002</v>
      </c>
      <c r="K18" s="75">
        <f>SUM('gm podst'!T3:T80)</f>
        <v>1092471</v>
      </c>
      <c r="L18" s="75">
        <f>SUM('gm podst'!U3:U80)</f>
        <v>1011161.5</v>
      </c>
      <c r="M18" s="75">
        <f>SUM('gm podst'!V3:V80)</f>
        <v>1027944</v>
      </c>
      <c r="N18" s="75">
        <f>SUM('gm podst'!W3:W80)</f>
        <v>0</v>
      </c>
      <c r="O18" s="75">
        <f>SUM('gm podst'!X3:X80)</f>
        <v>0</v>
      </c>
      <c r="P18" s="49" t="b">
        <f t="shared" si="0"/>
        <v>1</v>
      </c>
      <c r="Q18" s="50" t="b">
        <f t="shared" si="1"/>
        <v>1</v>
      </c>
      <c r="R18" s="51"/>
      <c r="S18" s="51"/>
      <c r="T18" s="52"/>
      <c r="U18" s="52"/>
      <c r="V18" s="52"/>
      <c r="W18" s="52"/>
      <c r="X18" s="52"/>
    </row>
    <row r="19" spans="1:24" ht="39.75" customHeight="1">
      <c r="A19" s="54" t="s">
        <v>12</v>
      </c>
      <c r="B19" s="55">
        <f>COUNTIF('gm podst'!C3:C80,"K")</f>
        <v>23</v>
      </c>
      <c r="C19" s="56">
        <f>SUMIF('gm podst'!C3:C80,"K",'gm podst'!K3:K80)</f>
        <v>122349029.79</v>
      </c>
      <c r="D19" s="57">
        <f>SUMIF('gm podst'!C3:C80,"K",'gm podst'!M3:M80)</f>
        <v>60230669.019999996</v>
      </c>
      <c r="E19" s="58">
        <f>SUMIF('gm podst'!C3:C80,"K",'gm podst'!L3:L80)</f>
        <v>62118360.77</v>
      </c>
      <c r="F19" s="59">
        <f>SUMIF('gm podst'!$C$3:$C$80,"K",'gm podst'!O3:O80)</f>
        <v>215964.8</v>
      </c>
      <c r="G19" s="59">
        <f>SUMIF('gm podst'!$C$3:$C$80,"K",'gm podst'!P3:P80)</f>
        <v>4955288.21</v>
      </c>
      <c r="H19" s="59">
        <f>SUMIF('gm podst'!$C$3:$C$80,"K",'gm podst'!Q3:Q80)</f>
        <v>20823469.049999997</v>
      </c>
      <c r="I19" s="59">
        <f>SUMIF('gm podst'!$C$3:$C$80,"K",'gm podst'!R3:R80)</f>
        <v>25547537.700000007</v>
      </c>
      <c r="J19" s="59">
        <f>SUMIF('gm podst'!$C$3:$C$80,"K",'gm podst'!S3:S80)</f>
        <v>7444524.51</v>
      </c>
      <c r="K19" s="59">
        <f>SUMIF('gm podst'!$C$3:$C$80,"K",'gm podst'!T3:T80)</f>
        <v>1092471</v>
      </c>
      <c r="L19" s="59">
        <f>SUMIF('gm podst'!$C$3:$C$80,"K",'gm podst'!U3:U80)</f>
        <v>1011161.5</v>
      </c>
      <c r="M19" s="59">
        <f>SUMIF('gm podst'!$C$3:$C$80,"K",'gm podst'!V3:V80)</f>
        <v>1027944</v>
      </c>
      <c r="N19" s="59">
        <f>SUMIF('gm podst'!$C$3:$C$80,"K",'gm podst'!W3:W80)</f>
        <v>0</v>
      </c>
      <c r="O19" s="59">
        <f>SUMIF('gm podst'!$C$3:$C$80,"K",'gm podst'!X3:X80)</f>
        <v>0</v>
      </c>
      <c r="P19" s="49" t="b">
        <f t="shared" si="0"/>
        <v>1</v>
      </c>
      <c r="Q19" s="50" t="b">
        <f t="shared" si="1"/>
        <v>1</v>
      </c>
      <c r="R19" s="51"/>
      <c r="S19" s="51"/>
      <c r="T19" s="52"/>
      <c r="U19" s="52"/>
      <c r="V19" s="52"/>
      <c r="W19" s="52"/>
      <c r="X19" s="52"/>
    </row>
    <row r="20" spans="1:24" ht="39.75" customHeight="1">
      <c r="A20" s="61" t="s">
        <v>13</v>
      </c>
      <c r="B20" s="62">
        <f>COUNTIF('gm podst'!C3:C80,"N")</f>
        <v>41</v>
      </c>
      <c r="C20" s="63">
        <f>SUMIF('gm podst'!C3:C80,"N",'gm podst'!K3:K80)</f>
        <v>67862949</v>
      </c>
      <c r="D20" s="64">
        <f>SUMIF('gm podst'!C3:C80,"N",'gm podst'!M3:M80)</f>
        <v>31675100.170000013</v>
      </c>
      <c r="E20" s="65">
        <f>SUMIF('gm podst'!C3:C80,"N",'gm podst'!L3:L80)</f>
        <v>36187848.82999999</v>
      </c>
      <c r="F20" s="66">
        <f>SUMIF('gm podst'!$C$3:$C$80,"N",'gm podst'!O3:O80)</f>
        <v>0</v>
      </c>
      <c r="G20" s="66">
        <f>SUMIF('gm podst'!$C$3:$C$80,"N",'gm podst'!P3:P80)</f>
        <v>0</v>
      </c>
      <c r="H20" s="66">
        <f>SUMIF('gm podst'!$C$3:$C$80,"N",'gm podst'!Q3:Q80)</f>
        <v>0</v>
      </c>
      <c r="I20" s="66">
        <f>SUMIF('gm podst'!$C$3:$C$80,"N",'gm podst'!R3:R80)</f>
        <v>36187848.82999999</v>
      </c>
      <c r="J20" s="66">
        <f>SUMIF('gm podst'!$C$3:$C$80,"N",'gm podst'!S3:S80)</f>
        <v>0</v>
      </c>
      <c r="K20" s="66">
        <f>SUMIF('gm podst'!$C$3:$C$80,"N",'gm podst'!T3:T80)</f>
        <v>0</v>
      </c>
      <c r="L20" s="66">
        <f>SUMIF('gm podst'!$C$3:$C$80,"N",'gm podst'!U3:U80)</f>
        <v>0</v>
      </c>
      <c r="M20" s="66">
        <f>SUMIF('gm podst'!$C$3:$C$80,"N",'gm podst'!V3:V80)</f>
        <v>0</v>
      </c>
      <c r="N20" s="66">
        <f>SUMIF('gm podst'!$C$3:$C$80,"N",'gm podst'!W3:W80)</f>
        <v>0</v>
      </c>
      <c r="O20" s="66">
        <f>SUMIF('gm podst'!$C$3:$C$80,"N",'gm podst'!X3:X80)</f>
        <v>0</v>
      </c>
      <c r="P20" s="49" t="b">
        <f t="shared" si="0"/>
        <v>1</v>
      </c>
      <c r="Q20" s="50" t="b">
        <f t="shared" si="1"/>
        <v>1</v>
      </c>
      <c r="R20" s="51"/>
      <c r="S20" s="51"/>
      <c r="T20" s="52"/>
      <c r="U20" s="52"/>
      <c r="V20" s="52"/>
      <c r="W20" s="52"/>
      <c r="X20" s="52"/>
    </row>
    <row r="21" spans="1:24" ht="39.75" customHeight="1">
      <c r="A21" s="68" t="s">
        <v>14</v>
      </c>
      <c r="B21" s="69">
        <f>COUNTIF('gm podst'!C3:C80,"W")</f>
        <v>14</v>
      </c>
      <c r="C21" s="70">
        <f>SUMIF('gm podst'!C3:C80,"W",'gm podst'!K3:K80)</f>
        <v>61496242</v>
      </c>
      <c r="D21" s="71">
        <f>SUMIF('gm podst'!C3:C80,"W",'gm podst'!M3:M80)</f>
        <v>30631860.35</v>
      </c>
      <c r="E21" s="72">
        <f>SUMIF('gm podst'!C3:C80,"W",'gm podst'!L3:L80)</f>
        <v>30864381.65</v>
      </c>
      <c r="F21" s="73">
        <f>SUMIF('gm podst'!$C$3:$C$80,"W",'gm podst'!O3:O80)</f>
        <v>0</v>
      </c>
      <c r="G21" s="73">
        <f>SUMIF('gm podst'!$C$3:$C$80,"W",'gm podst'!P3:P80)</f>
        <v>0</v>
      </c>
      <c r="H21" s="73">
        <f>SUMIF('gm podst'!$C$3:$C$80,"W",'gm podst'!Q3:Q80)</f>
        <v>0</v>
      </c>
      <c r="I21" s="73">
        <f>SUMIF('gm podst'!$C$3:$C$80,"W",'gm podst'!R3:R80)</f>
        <v>13295659.85</v>
      </c>
      <c r="J21" s="73">
        <f>SUMIF('gm podst'!$C$3:$C$80,"W",'gm podst'!S3:S80)</f>
        <v>17568721.8</v>
      </c>
      <c r="K21" s="73">
        <f>SUMIF('gm podst'!$C$3:$C$80,"W",'gm podst'!T3:T80)</f>
        <v>0</v>
      </c>
      <c r="L21" s="73">
        <f>SUMIF('gm podst'!$C$3:$C$80,"W",'gm podst'!U3:U80)</f>
        <v>0</v>
      </c>
      <c r="M21" s="73">
        <f>SUMIF('gm podst'!$C$3:$C$80,"W",'gm podst'!V3:V80)</f>
        <v>0</v>
      </c>
      <c r="N21" s="73">
        <f>SUMIF('gm podst'!$C$3:$C$80,"W",'gm podst'!W3:W80)</f>
        <v>0</v>
      </c>
      <c r="O21" s="73">
        <f>SUMIF('gm podst'!$C$3:$C$80,"W",'gm podst'!X3:X80)</f>
        <v>0</v>
      </c>
      <c r="P21" s="49" t="b">
        <f t="shared" si="0"/>
        <v>1</v>
      </c>
      <c r="Q21" s="50" t="b">
        <f t="shared" si="1"/>
        <v>1</v>
      </c>
      <c r="R21" s="51"/>
      <c r="S21" s="51"/>
      <c r="T21" s="52"/>
      <c r="U21" s="52"/>
      <c r="V21" s="52"/>
      <c r="W21" s="52"/>
      <c r="X21" s="52"/>
    </row>
    <row r="22" spans="1:24" s="87" customFormat="1" ht="39.75" customHeight="1">
      <c r="A22" s="76" t="s">
        <v>16</v>
      </c>
      <c r="B22" s="77">
        <f>B14+B18</f>
        <v>114</v>
      </c>
      <c r="C22" s="78">
        <f>C14+C18</f>
        <v>555019943.03</v>
      </c>
      <c r="D22" s="79">
        <f aca="true" t="shared" si="2" ref="C22:O24">D14+D18</f>
        <v>262944551.05</v>
      </c>
      <c r="E22" s="80">
        <f t="shared" si="2"/>
        <v>292075391.98</v>
      </c>
      <c r="F22" s="81">
        <f t="shared" si="2"/>
        <v>3903839.8</v>
      </c>
      <c r="G22" s="78">
        <f>G14+G18</f>
        <v>21311503.259999998</v>
      </c>
      <c r="H22" s="78">
        <f t="shared" si="2"/>
        <v>58746111.78</v>
      </c>
      <c r="I22" s="78">
        <f t="shared" si="2"/>
        <v>150050610.7</v>
      </c>
      <c r="J22" s="78">
        <f t="shared" si="2"/>
        <v>47635589.44</v>
      </c>
      <c r="K22" s="78">
        <f t="shared" si="2"/>
        <v>8388631.5</v>
      </c>
      <c r="L22" s="78">
        <f t="shared" si="2"/>
        <v>1011161.5</v>
      </c>
      <c r="M22" s="78">
        <f t="shared" si="2"/>
        <v>1027944</v>
      </c>
      <c r="N22" s="78">
        <f t="shared" si="2"/>
        <v>0</v>
      </c>
      <c r="O22" s="82">
        <f t="shared" si="2"/>
        <v>0</v>
      </c>
      <c r="P22" s="83" t="b">
        <f t="shared" si="0"/>
        <v>1</v>
      </c>
      <c r="Q22" s="84" t="b">
        <f>E22=SUM(F22:O22)</f>
        <v>1</v>
      </c>
      <c r="R22" s="85"/>
      <c r="S22" s="85"/>
      <c r="T22" s="86"/>
      <c r="U22" s="86"/>
      <c r="V22" s="86"/>
      <c r="W22" s="86"/>
      <c r="X22" s="86"/>
    </row>
    <row r="23" spans="1:24" s="87" customFormat="1" ht="39.75" customHeight="1">
      <c r="A23" s="88" t="s">
        <v>12</v>
      </c>
      <c r="B23" s="89">
        <f>B15+B19</f>
        <v>40</v>
      </c>
      <c r="C23" s="90">
        <f t="shared" si="2"/>
        <v>298059142.03</v>
      </c>
      <c r="D23" s="91">
        <f t="shared" si="2"/>
        <v>145021717.13</v>
      </c>
      <c r="E23" s="58">
        <f t="shared" si="2"/>
        <v>153037424.9</v>
      </c>
      <c r="F23" s="92">
        <f t="shared" si="2"/>
        <v>3903839.8</v>
      </c>
      <c r="G23" s="90">
        <f t="shared" si="2"/>
        <v>21311503.259999998</v>
      </c>
      <c r="H23" s="90">
        <f t="shared" si="2"/>
        <v>58746111.78</v>
      </c>
      <c r="I23" s="90">
        <f t="shared" si="2"/>
        <v>56999868.92</v>
      </c>
      <c r="J23" s="90">
        <f t="shared" si="2"/>
        <v>8944524.64</v>
      </c>
      <c r="K23" s="90">
        <f t="shared" si="2"/>
        <v>1092471</v>
      </c>
      <c r="L23" s="90">
        <f t="shared" si="2"/>
        <v>1011161.5</v>
      </c>
      <c r="M23" s="90">
        <f t="shared" si="2"/>
        <v>1027944</v>
      </c>
      <c r="N23" s="90">
        <f t="shared" si="2"/>
        <v>0</v>
      </c>
      <c r="O23" s="93">
        <f t="shared" si="2"/>
        <v>0</v>
      </c>
      <c r="P23" s="49" t="b">
        <f t="shared" si="0"/>
        <v>1</v>
      </c>
      <c r="Q23" s="50" t="b">
        <f>E23=SUM(F23:O23)</f>
        <v>1</v>
      </c>
      <c r="R23" s="94"/>
      <c r="S23" s="94"/>
      <c r="T23" s="95"/>
      <c r="U23" s="95"/>
      <c r="V23" s="95"/>
      <c r="W23" s="95"/>
      <c r="X23" s="95"/>
    </row>
    <row r="24" spans="1:24" s="87" customFormat="1" ht="39.75" customHeight="1">
      <c r="A24" s="96" t="s">
        <v>13</v>
      </c>
      <c r="B24" s="97">
        <f>B16+B20</f>
        <v>53</v>
      </c>
      <c r="C24" s="98">
        <f t="shared" si="2"/>
        <v>118293048</v>
      </c>
      <c r="D24" s="99">
        <f t="shared" si="2"/>
        <v>55447266.07000001</v>
      </c>
      <c r="E24" s="65">
        <f t="shared" si="2"/>
        <v>62845781.92999999</v>
      </c>
      <c r="F24" s="100">
        <f t="shared" si="2"/>
        <v>0</v>
      </c>
      <c r="G24" s="98">
        <f t="shared" si="2"/>
        <v>0</v>
      </c>
      <c r="H24" s="98">
        <f t="shared" si="2"/>
        <v>0</v>
      </c>
      <c r="I24" s="98">
        <f t="shared" si="2"/>
        <v>62845781.92999999</v>
      </c>
      <c r="J24" s="98">
        <f t="shared" si="2"/>
        <v>0</v>
      </c>
      <c r="K24" s="98">
        <f t="shared" si="2"/>
        <v>0</v>
      </c>
      <c r="L24" s="98">
        <f t="shared" si="2"/>
        <v>0</v>
      </c>
      <c r="M24" s="98">
        <f t="shared" si="2"/>
        <v>0</v>
      </c>
      <c r="N24" s="98">
        <f t="shared" si="2"/>
        <v>0</v>
      </c>
      <c r="O24" s="101">
        <f t="shared" si="2"/>
        <v>0</v>
      </c>
      <c r="P24" s="49" t="b">
        <f t="shared" si="0"/>
        <v>1</v>
      </c>
      <c r="Q24" s="50" t="b">
        <f>E24=SUM(F24:O24)</f>
        <v>1</v>
      </c>
      <c r="R24" s="94"/>
      <c r="S24" s="94"/>
      <c r="T24" s="95"/>
      <c r="U24" s="95"/>
      <c r="V24" s="95"/>
      <c r="W24" s="95"/>
      <c r="X24" s="95"/>
    </row>
    <row r="25" spans="1:24" s="87" customFormat="1" ht="39.75" customHeight="1">
      <c r="A25" s="102" t="s">
        <v>14</v>
      </c>
      <c r="B25" s="103">
        <f>B17+B21</f>
        <v>21</v>
      </c>
      <c r="C25" s="104">
        <f aca="true" t="shared" si="3" ref="C25:O25">C17+C21</f>
        <v>138667753</v>
      </c>
      <c r="D25" s="105">
        <f t="shared" si="3"/>
        <v>62475567.85</v>
      </c>
      <c r="E25" s="72">
        <f t="shared" si="3"/>
        <v>76192185.15</v>
      </c>
      <c r="F25" s="106">
        <f t="shared" si="3"/>
        <v>0</v>
      </c>
      <c r="G25" s="104">
        <f t="shared" si="3"/>
        <v>0</v>
      </c>
      <c r="H25" s="104">
        <f t="shared" si="3"/>
        <v>0</v>
      </c>
      <c r="I25" s="104">
        <f t="shared" si="3"/>
        <v>30204959.85</v>
      </c>
      <c r="J25" s="104">
        <f t="shared" si="3"/>
        <v>38691064.8</v>
      </c>
      <c r="K25" s="104">
        <f t="shared" si="3"/>
        <v>7296160.5</v>
      </c>
      <c r="L25" s="104">
        <f t="shared" si="3"/>
        <v>0</v>
      </c>
      <c r="M25" s="104">
        <f t="shared" si="3"/>
        <v>0</v>
      </c>
      <c r="N25" s="104">
        <f t="shared" si="3"/>
        <v>0</v>
      </c>
      <c r="O25" s="107">
        <f t="shared" si="3"/>
        <v>0</v>
      </c>
      <c r="P25" s="49" t="b">
        <f>C25=(D25+E25)</f>
        <v>1</v>
      </c>
      <c r="Q25" s="50" t="b">
        <f>E25=SUM(F25:O25)</f>
        <v>1</v>
      </c>
      <c r="R25" s="94"/>
      <c r="S25" s="94"/>
      <c r="T25" s="95"/>
      <c r="U25" s="95"/>
      <c r="V25" s="95"/>
      <c r="W25" s="95"/>
      <c r="X25" s="95"/>
    </row>
    <row r="26" spans="1:24" ht="39.75" customHeight="1">
      <c r="A26" s="42" t="s">
        <v>17</v>
      </c>
      <c r="B26" s="43">
        <f>COUNTA('pow rez'!K3:K17)</f>
        <v>15</v>
      </c>
      <c r="C26" s="44">
        <f>SUM('pow rez'!J3:J17)</f>
        <v>92985276</v>
      </c>
      <c r="D26" s="45">
        <f>SUM('pow rez'!L3:L17)</f>
        <v>45508931.4</v>
      </c>
      <c r="E26" s="46">
        <f>SUM('pow rez'!K3:K17)</f>
        <v>47476344.6</v>
      </c>
      <c r="F26" s="47">
        <f>SUM('pow rez'!N3:N17)</f>
        <v>0</v>
      </c>
      <c r="G26" s="44">
        <f>SUM('pow rez'!O3:O17)</f>
        <v>0</v>
      </c>
      <c r="H26" s="44">
        <f>SUM('pow rez'!P3:P17)</f>
        <v>0</v>
      </c>
      <c r="I26" s="44">
        <f>SUM('pow rez'!Q3:Q17)</f>
        <v>27543445.3</v>
      </c>
      <c r="J26" s="44">
        <f>SUM('pow rez'!R3:R17)</f>
        <v>17045399.3</v>
      </c>
      <c r="K26" s="44">
        <f>SUM('pow rez'!S3:S17)</f>
        <v>2887500</v>
      </c>
      <c r="L26" s="44">
        <f>SUM('pow rez'!T3:T17)</f>
        <v>0</v>
      </c>
      <c r="M26" s="44">
        <f>SUM('pow rez'!U3:U17)</f>
        <v>0</v>
      </c>
      <c r="N26" s="44">
        <f>SUM('pow rez'!V3:V17)</f>
        <v>0</v>
      </c>
      <c r="O26" s="48">
        <f>SUM('pow rez'!W3:W17)</f>
        <v>0</v>
      </c>
      <c r="P26" s="49" t="b">
        <f aca="true" t="shared" si="4" ref="P26:P38">C26=(D26+E26)</f>
        <v>1</v>
      </c>
      <c r="Q26" s="50" t="b">
        <f aca="true" t="shared" si="5" ref="Q26:Q38">E26=SUM(F26:O26)</f>
        <v>1</v>
      </c>
      <c r="R26" s="51"/>
      <c r="S26" s="51"/>
      <c r="T26" s="52"/>
      <c r="U26" s="52"/>
      <c r="V26" s="52"/>
      <c r="W26" s="52"/>
      <c r="X26" s="52"/>
    </row>
    <row r="27" spans="1:24" ht="39.75" customHeight="1">
      <c r="A27" s="61" t="s">
        <v>13</v>
      </c>
      <c r="B27" s="62">
        <f>COUNTIF('pow rez'!C3:C17,"N")</f>
        <v>8</v>
      </c>
      <c r="C27" s="63">
        <f>SUMIF('pow rez'!C3:C17,"N",'pow rez'!J3:J17)</f>
        <v>25527209</v>
      </c>
      <c r="D27" s="64">
        <f>SUMIF('pow rez'!C3:C17,"N",'pow rez'!L3:L17)</f>
        <v>12494960.5</v>
      </c>
      <c r="E27" s="65">
        <f>SUMIF('pow rez'!C3:C17,"N",'pow rez'!K3:K17)</f>
        <v>13032248.5</v>
      </c>
      <c r="F27" s="66">
        <f>SUMIF('pow rez'!$C$3:$C$17,"N",'pow rez'!N3:N17)</f>
        <v>0</v>
      </c>
      <c r="G27" s="63">
        <f>SUMIF('pow rez'!$C$3:$C$17,"N",'pow rez'!O3:O17)</f>
        <v>0</v>
      </c>
      <c r="H27" s="63">
        <f>SUMIF('pow rez'!$C$3:$C$17,"N",'pow rez'!P3:P17)</f>
        <v>0</v>
      </c>
      <c r="I27" s="63">
        <f>SUMIF('pow rez'!$C$3:$C$17,"N",'pow rez'!Q3:Q17)</f>
        <v>13032248.5</v>
      </c>
      <c r="J27" s="63">
        <f>SUMIF('pow rez'!$C$3:$C$17,"N",'pow rez'!R3:R17)</f>
        <v>0</v>
      </c>
      <c r="K27" s="63">
        <f>SUMIF('pow rez'!$C$3:$C$17,"N",'pow rez'!S3:S17)</f>
        <v>0</v>
      </c>
      <c r="L27" s="63">
        <f>SUMIF('pow rez'!$C$3:$C$17,"N",'pow rez'!T3:T17)</f>
        <v>0</v>
      </c>
      <c r="M27" s="63">
        <f>SUMIF('pow rez'!$C$3:$C$17,"N",'pow rez'!U3:U17)</f>
        <v>0</v>
      </c>
      <c r="N27" s="63">
        <f>SUMIF('pow rez'!$C$3:$C$17,"N",'pow rez'!V3:V17)</f>
        <v>0</v>
      </c>
      <c r="O27" s="67">
        <f>SUMIF('pow rez'!$C$3:$C$17,"N",'pow rez'!W3:W17)</f>
        <v>0</v>
      </c>
      <c r="P27" s="49" t="b">
        <f t="shared" si="4"/>
        <v>1</v>
      </c>
      <c r="Q27" s="50" t="b">
        <f t="shared" si="5"/>
        <v>1</v>
      </c>
      <c r="R27" s="51"/>
      <c r="S27" s="51"/>
      <c r="T27" s="52"/>
      <c r="U27" s="52"/>
      <c r="V27" s="52"/>
      <c r="W27" s="52"/>
      <c r="X27" s="52"/>
    </row>
    <row r="28" spans="1:24" ht="39.75" customHeight="1">
      <c r="A28" s="68" t="s">
        <v>14</v>
      </c>
      <c r="B28" s="69">
        <f>COUNTIF('pow rez'!C3:C17,"W")</f>
        <v>7</v>
      </c>
      <c r="C28" s="70">
        <f>SUMIF('pow rez'!C3:C17,"W",'pow rez'!J3:J17)</f>
        <v>67458067</v>
      </c>
      <c r="D28" s="71">
        <f>SUMIF('pow rez'!C3:C17,"W",'pow rez'!L3:L17)</f>
        <v>33013970.9</v>
      </c>
      <c r="E28" s="72">
        <f>SUMIF('pow rez'!C3:C17,"W",'pow rez'!K3:K17)</f>
        <v>34444096.1</v>
      </c>
      <c r="F28" s="73">
        <f>SUMIF('pow rez'!$C$3:$C$17,"W",'pow rez'!N3:N17)</f>
        <v>0</v>
      </c>
      <c r="G28" s="70">
        <f>SUMIF('pow rez'!$C$3:$C$17,"W",'pow rez'!O3:O17)</f>
        <v>0</v>
      </c>
      <c r="H28" s="70">
        <f>SUMIF('pow rez'!$C$3:$C$17,"W",'pow rez'!P3:P17)</f>
        <v>0</v>
      </c>
      <c r="I28" s="70">
        <f>SUMIF('pow rez'!$C$3:$C$17,"W",'pow rez'!Q3:Q17)</f>
        <v>14511196.8</v>
      </c>
      <c r="J28" s="56">
        <f>SUMIF('pow rez'!$C$3:$C$17,"W",'pow rez'!R3:R17)</f>
        <v>17045399.3</v>
      </c>
      <c r="K28" s="70">
        <f>SUMIF('pow rez'!$C$3:$C$17,"W",'pow rez'!S3:S17)</f>
        <v>2887500</v>
      </c>
      <c r="L28" s="70">
        <f>SUMIF('pow rez'!$C$3:$C$17,"W",'pow rez'!T3:T17)</f>
        <v>0</v>
      </c>
      <c r="M28" s="70">
        <f>SUMIF('pow rez'!$C$3:$C$17,"W",'pow rez'!U3:U17)</f>
        <v>0</v>
      </c>
      <c r="N28" s="70">
        <f>SUMIF('pow rez'!$C$3:$C$17,"W",'pow rez'!V3:V17)</f>
        <v>0</v>
      </c>
      <c r="O28" s="74">
        <f>SUMIF('pow rez'!$C$3:$C$17,"W",'pow rez'!W3:W17)</f>
        <v>0</v>
      </c>
      <c r="P28" s="49" t="b">
        <f t="shared" si="4"/>
        <v>1</v>
      </c>
      <c r="Q28" s="50" t="b">
        <f t="shared" si="5"/>
        <v>1</v>
      </c>
      <c r="R28" s="51"/>
      <c r="S28" s="51"/>
      <c r="T28" s="52"/>
      <c r="U28" s="52"/>
      <c r="V28" s="52"/>
      <c r="W28" s="52"/>
      <c r="X28" s="52"/>
    </row>
    <row r="29" spans="1:24" ht="39.75" customHeight="1">
      <c r="A29" s="42" t="s">
        <v>18</v>
      </c>
      <c r="B29" s="43">
        <f>COUNTA('gm rez'!L3:L65)</f>
        <v>63</v>
      </c>
      <c r="C29" s="44">
        <f>SUM('gm rez'!K3:K65)</f>
        <v>235717489</v>
      </c>
      <c r="D29" s="45">
        <f>SUM('gm rez'!M3:M65)</f>
        <v>117414131.85000001</v>
      </c>
      <c r="E29" s="46">
        <f>SUM('gm rez'!L3:L65)</f>
        <v>118303357.14999999</v>
      </c>
      <c r="F29" s="47">
        <f>SUM('gm rez'!O3:O65)</f>
        <v>0</v>
      </c>
      <c r="G29" s="44">
        <f>SUM('gm rez'!P3:P65)</f>
        <v>0</v>
      </c>
      <c r="H29" s="44">
        <f>SUM('gm rez'!Q3:Q65)</f>
        <v>0</v>
      </c>
      <c r="I29" s="44">
        <f>SUM('gm rez'!R3:R65)</f>
        <v>76054263.15</v>
      </c>
      <c r="J29" s="44">
        <f>SUM('gm rez'!S3:S65)</f>
        <v>33533423.5</v>
      </c>
      <c r="K29" s="44">
        <f>SUM('gm rez'!T3:T65)</f>
        <v>6290670.5</v>
      </c>
      <c r="L29" s="44">
        <f>SUM('gm rez'!U3:U65)</f>
        <v>2425000</v>
      </c>
      <c r="M29" s="44">
        <f>SUM('gm rez'!V3:V65)</f>
        <v>0</v>
      </c>
      <c r="N29" s="44">
        <f>SUM('gm rez'!W3:W65)</f>
        <v>0</v>
      </c>
      <c r="O29" s="48">
        <f>SUM('gm rez'!X3:X65)</f>
        <v>0</v>
      </c>
      <c r="P29" s="49" t="b">
        <f t="shared" si="4"/>
        <v>1</v>
      </c>
      <c r="Q29" s="50" t="b">
        <f t="shared" si="5"/>
        <v>1</v>
      </c>
      <c r="R29" s="108"/>
      <c r="S29" s="108"/>
      <c r="T29" s="109"/>
      <c r="U29" s="109"/>
      <c r="V29" s="53"/>
      <c r="W29" s="36"/>
      <c r="X29" s="36"/>
    </row>
    <row r="30" spans="1:24" ht="39.75" customHeight="1">
      <c r="A30" s="61" t="s">
        <v>13</v>
      </c>
      <c r="B30" s="62">
        <f>COUNTIF('gm rez'!C3:C65,"N")</f>
        <v>40</v>
      </c>
      <c r="C30" s="63">
        <f>SUMIF('gm rez'!C3:C65,"N",'gm rez'!K3:K65)</f>
        <v>100756793</v>
      </c>
      <c r="D30" s="64">
        <f>SUMIF('gm rez'!C3:C65,"N",'gm rez'!M3:M65)</f>
        <v>49933783.85</v>
      </c>
      <c r="E30" s="65">
        <f>SUMIF('gm rez'!C3:C65,"N",'gm rez'!L3:L65)</f>
        <v>50823009.15</v>
      </c>
      <c r="F30" s="66">
        <f>SUMIF('gm rez'!C3:C65,"N",'gm rez'!O3:O65)</f>
        <v>0</v>
      </c>
      <c r="G30" s="63">
        <f>SUMIF('gm rez'!C3:C65,"N",'gm rez'!P3:P65)</f>
        <v>0</v>
      </c>
      <c r="H30" s="63">
        <f>SUMIF('gm rez'!C3:C65,"N",'gm rez'!Q3:Q65)</f>
        <v>0</v>
      </c>
      <c r="I30" s="63">
        <f>SUMIF('gm rez'!C3:C65,"N",'gm rez'!R3:R65)</f>
        <v>50823009.15</v>
      </c>
      <c r="J30" s="63">
        <f>SUMIF('gm rez'!E3:E65,"N",'gm rez'!S3:S65)</f>
        <v>0</v>
      </c>
      <c r="K30" s="63">
        <f>SUMIF('gm rez'!F3:F65,"N",'gm rez'!T3:T65)</f>
        <v>0</v>
      </c>
      <c r="L30" s="63">
        <f>SUMIF('gm rez'!G3:G65,"N",'gm rez'!U3:U65)</f>
        <v>0</v>
      </c>
      <c r="M30" s="63">
        <f>SUMIF('gm rez'!H3:H65,"N",'gm rez'!V3:V65)</f>
        <v>0</v>
      </c>
      <c r="N30" s="63">
        <f>SUMIF('gm rez'!I3:I65,"N",'gm rez'!W3:W65)</f>
        <v>0</v>
      </c>
      <c r="O30" s="67">
        <f>SUMIF('gm rez'!J3:J65,"N",'gm rez'!X3:X65)</f>
        <v>0</v>
      </c>
      <c r="P30" s="49" t="b">
        <f t="shared" si="4"/>
        <v>1</v>
      </c>
      <c r="Q30" s="50" t="b">
        <f t="shared" si="5"/>
        <v>1</v>
      </c>
      <c r="R30" s="108"/>
      <c r="S30" s="108"/>
      <c r="T30" s="109"/>
      <c r="U30" s="109"/>
      <c r="V30" s="53"/>
      <c r="W30" s="36"/>
      <c r="X30" s="36"/>
    </row>
    <row r="31" spans="1:24" ht="39.75" customHeight="1">
      <c r="A31" s="68" t="s">
        <v>14</v>
      </c>
      <c r="B31" s="69">
        <f>COUNTIF('gm rez'!C3:C65,"W")</f>
        <v>23</v>
      </c>
      <c r="C31" s="70">
        <f>SUMIF('gm rez'!C3:C65,"W",'gm rez'!K3:K65)</f>
        <v>134960696</v>
      </c>
      <c r="D31" s="71">
        <f>SUMIF('gm rez'!C3:C65,"W",'gm rez'!M3:M65)</f>
        <v>67480348</v>
      </c>
      <c r="E31" s="72">
        <f>SUMIF('gm rez'!C3:C65,"W",'gm rez'!L3:L65)</f>
        <v>67480348</v>
      </c>
      <c r="F31" s="73">
        <f>SUMIF('gm rez'!C3:C65,"W",'gm rez'!O3:O65)</f>
        <v>0</v>
      </c>
      <c r="G31" s="70">
        <f>SUMIF('gm rez'!C3:C65,"W",'gm rez'!P3:P65)</f>
        <v>0</v>
      </c>
      <c r="H31" s="70">
        <f>SUMIF('gm rez'!C3:C65,"W",'gm rez'!Q3:Q65)</f>
        <v>0</v>
      </c>
      <c r="I31" s="70">
        <f>SUMIF('gm rez'!C3:C65,"W",'gm rez'!R3:R65)</f>
        <v>25231254</v>
      </c>
      <c r="J31" s="70">
        <f>SUMIF('gm rez'!C3:C65,"W",'gm rez'!S3:S65)</f>
        <v>33533423.5</v>
      </c>
      <c r="K31" s="70">
        <f>SUMIF('gm rez'!C3:C65,"W",'gm rez'!T3:T65)</f>
        <v>6290670.5</v>
      </c>
      <c r="L31" s="70">
        <f>SUMIF('gm rez'!C3:C65,"W",'gm rez'!U3:U65)</f>
        <v>2425000</v>
      </c>
      <c r="M31" s="70">
        <f>SUMIF('gm rez'!C3:C65,"W",'gm rez'!V3:V65)</f>
        <v>0</v>
      </c>
      <c r="N31" s="70">
        <f>SUMIF('gm rez'!C3:C65,"W",'gm rez'!W3:W65)</f>
        <v>0</v>
      </c>
      <c r="O31" s="74">
        <f>SUMIF('gm rez'!C3:C65,"W",'gm rez'!X3:X65)</f>
        <v>0</v>
      </c>
      <c r="P31" s="49" t="b">
        <f t="shared" si="4"/>
        <v>1</v>
      </c>
      <c r="Q31" s="50" t="b">
        <f t="shared" si="5"/>
        <v>1</v>
      </c>
      <c r="R31" s="108"/>
      <c r="S31" s="108"/>
      <c r="T31" s="109"/>
      <c r="U31" s="109"/>
      <c r="V31" s="53"/>
      <c r="W31" s="36"/>
      <c r="X31" s="36"/>
    </row>
    <row r="32" spans="1:21" ht="39.75" customHeight="1">
      <c r="A32" s="110" t="s">
        <v>19</v>
      </c>
      <c r="B32" s="111">
        <f>B26+B29</f>
        <v>78</v>
      </c>
      <c r="C32" s="112">
        <f aca="true" t="shared" si="6" ref="C32:O32">C26+C29</f>
        <v>328702765</v>
      </c>
      <c r="D32" s="113">
        <f t="shared" si="6"/>
        <v>162923063.25</v>
      </c>
      <c r="E32" s="114">
        <f t="shared" si="6"/>
        <v>165779701.75</v>
      </c>
      <c r="F32" s="115">
        <f t="shared" si="6"/>
        <v>0</v>
      </c>
      <c r="G32" s="112">
        <f>G26+G29</f>
        <v>0</v>
      </c>
      <c r="H32" s="112">
        <f t="shared" si="6"/>
        <v>0</v>
      </c>
      <c r="I32" s="112">
        <f t="shared" si="6"/>
        <v>103597708.45</v>
      </c>
      <c r="J32" s="112">
        <f t="shared" si="6"/>
        <v>50578822.8</v>
      </c>
      <c r="K32" s="112">
        <f t="shared" si="6"/>
        <v>9178170.5</v>
      </c>
      <c r="L32" s="112">
        <f t="shared" si="6"/>
        <v>2425000</v>
      </c>
      <c r="M32" s="112">
        <f t="shared" si="6"/>
        <v>0</v>
      </c>
      <c r="N32" s="112">
        <f t="shared" si="6"/>
        <v>0</v>
      </c>
      <c r="O32" s="116">
        <f t="shared" si="6"/>
        <v>0</v>
      </c>
      <c r="P32" s="49" t="b">
        <f t="shared" si="4"/>
        <v>1</v>
      </c>
      <c r="Q32" s="50" t="b">
        <f t="shared" si="5"/>
        <v>1</v>
      </c>
      <c r="R32" s="117"/>
      <c r="S32" s="117"/>
      <c r="T32" s="35"/>
      <c r="U32" s="35"/>
    </row>
    <row r="33" spans="1:21" ht="39.75" customHeight="1">
      <c r="A33" s="118" t="s">
        <v>13</v>
      </c>
      <c r="B33" s="119">
        <f aca="true" t="shared" si="7" ref="B33:O33">B27+B30</f>
        <v>48</v>
      </c>
      <c r="C33" s="120">
        <f t="shared" si="7"/>
        <v>126284002</v>
      </c>
      <c r="D33" s="121">
        <f t="shared" si="7"/>
        <v>62428744.35</v>
      </c>
      <c r="E33" s="65">
        <f t="shared" si="7"/>
        <v>63855257.65</v>
      </c>
      <c r="F33" s="122">
        <f t="shared" si="7"/>
        <v>0</v>
      </c>
      <c r="G33" s="120">
        <f t="shared" si="7"/>
        <v>0</v>
      </c>
      <c r="H33" s="120">
        <f t="shared" si="7"/>
        <v>0</v>
      </c>
      <c r="I33" s="120">
        <f t="shared" si="7"/>
        <v>63855257.65</v>
      </c>
      <c r="J33" s="120">
        <f>J27+J30</f>
        <v>0</v>
      </c>
      <c r="K33" s="120">
        <f t="shared" si="7"/>
        <v>0</v>
      </c>
      <c r="L33" s="120">
        <f t="shared" si="7"/>
        <v>0</v>
      </c>
      <c r="M33" s="120">
        <f t="shared" si="7"/>
        <v>0</v>
      </c>
      <c r="N33" s="120">
        <f t="shared" si="7"/>
        <v>0</v>
      </c>
      <c r="O33" s="123">
        <f t="shared" si="7"/>
        <v>0</v>
      </c>
      <c r="P33" s="49" t="b">
        <f t="shared" si="4"/>
        <v>1</v>
      </c>
      <c r="Q33" s="50" t="b">
        <f t="shared" si="5"/>
        <v>1</v>
      </c>
      <c r="R33" s="117"/>
      <c r="S33" s="117"/>
      <c r="T33" s="35"/>
      <c r="U33" s="35"/>
    </row>
    <row r="34" spans="1:21" ht="39.75" customHeight="1">
      <c r="A34" s="124" t="s">
        <v>14</v>
      </c>
      <c r="B34" s="125">
        <f aca="true" t="shared" si="8" ref="B34:O34">B28+B31</f>
        <v>30</v>
      </c>
      <c r="C34" s="126">
        <f t="shared" si="8"/>
        <v>202418763</v>
      </c>
      <c r="D34" s="127">
        <f t="shared" si="8"/>
        <v>100494318.9</v>
      </c>
      <c r="E34" s="128">
        <f t="shared" si="8"/>
        <v>101924444.1</v>
      </c>
      <c r="F34" s="129">
        <f t="shared" si="8"/>
        <v>0</v>
      </c>
      <c r="G34" s="126">
        <f t="shared" si="8"/>
        <v>0</v>
      </c>
      <c r="H34" s="126">
        <f t="shared" si="8"/>
        <v>0</v>
      </c>
      <c r="I34" s="126">
        <f t="shared" si="8"/>
        <v>39742450.8</v>
      </c>
      <c r="J34" s="126">
        <f>J28+J31</f>
        <v>50578822.8</v>
      </c>
      <c r="K34" s="126">
        <f t="shared" si="8"/>
        <v>9178170.5</v>
      </c>
      <c r="L34" s="126">
        <f t="shared" si="8"/>
        <v>2425000</v>
      </c>
      <c r="M34" s="126">
        <f t="shared" si="8"/>
        <v>0</v>
      </c>
      <c r="N34" s="126">
        <f t="shared" si="8"/>
        <v>0</v>
      </c>
      <c r="O34" s="130">
        <f t="shared" si="8"/>
        <v>0</v>
      </c>
      <c r="P34" s="49" t="b">
        <f t="shared" si="4"/>
        <v>1</v>
      </c>
      <c r="Q34" s="50" t="b">
        <f t="shared" si="5"/>
        <v>1</v>
      </c>
      <c r="R34" s="117"/>
      <c r="S34" s="117"/>
      <c r="T34" s="35"/>
      <c r="U34" s="35"/>
    </row>
    <row r="35" spans="1:21" ht="39.75" customHeight="1">
      <c r="A35" s="131" t="s">
        <v>20</v>
      </c>
      <c r="B35" s="132">
        <f>B22+B32</f>
        <v>192</v>
      </c>
      <c r="C35" s="133">
        <f aca="true" t="shared" si="9" ref="C35:O35">C22+C32</f>
        <v>883722708.03</v>
      </c>
      <c r="D35" s="134">
        <f t="shared" si="9"/>
        <v>425867614.3</v>
      </c>
      <c r="E35" s="135">
        <f t="shared" si="9"/>
        <v>457855093.73</v>
      </c>
      <c r="F35" s="136">
        <f t="shared" si="9"/>
        <v>3903839.8</v>
      </c>
      <c r="G35" s="133">
        <f t="shared" si="9"/>
        <v>21311503.259999998</v>
      </c>
      <c r="H35" s="133">
        <f t="shared" si="9"/>
        <v>58746111.78</v>
      </c>
      <c r="I35" s="133">
        <f t="shared" si="9"/>
        <v>253648319.14999998</v>
      </c>
      <c r="J35" s="133">
        <f t="shared" si="9"/>
        <v>98214412.24</v>
      </c>
      <c r="K35" s="133">
        <f t="shared" si="9"/>
        <v>17566802</v>
      </c>
      <c r="L35" s="133">
        <f t="shared" si="9"/>
        <v>3436161.5</v>
      </c>
      <c r="M35" s="133">
        <f t="shared" si="9"/>
        <v>1027944</v>
      </c>
      <c r="N35" s="133">
        <f t="shared" si="9"/>
        <v>0</v>
      </c>
      <c r="O35" s="137">
        <f t="shared" si="9"/>
        <v>0</v>
      </c>
      <c r="P35" s="49" t="b">
        <f t="shared" si="4"/>
        <v>1</v>
      </c>
      <c r="Q35" s="50" t="b">
        <f t="shared" si="5"/>
        <v>1</v>
      </c>
      <c r="R35" s="117"/>
      <c r="S35" s="117"/>
      <c r="T35" s="35"/>
      <c r="U35" s="35"/>
    </row>
    <row r="36" spans="1:21" ht="39.75" customHeight="1">
      <c r="A36" s="138" t="s">
        <v>12</v>
      </c>
      <c r="B36" s="139">
        <f>B23</f>
        <v>40</v>
      </c>
      <c r="C36" s="140">
        <f aca="true" t="shared" si="10" ref="C36:O36">C23</f>
        <v>298059142.03</v>
      </c>
      <c r="D36" s="140">
        <f t="shared" si="10"/>
        <v>145021717.13</v>
      </c>
      <c r="E36" s="140">
        <f t="shared" si="10"/>
        <v>153037424.9</v>
      </c>
      <c r="F36" s="140">
        <f t="shared" si="10"/>
        <v>3903839.8</v>
      </c>
      <c r="G36" s="140">
        <f t="shared" si="10"/>
        <v>21311503.259999998</v>
      </c>
      <c r="H36" s="140">
        <f t="shared" si="10"/>
        <v>58746111.78</v>
      </c>
      <c r="I36" s="140">
        <f t="shared" si="10"/>
        <v>56999868.92</v>
      </c>
      <c r="J36" s="140">
        <f t="shared" si="10"/>
        <v>8944524.64</v>
      </c>
      <c r="K36" s="140">
        <f t="shared" si="10"/>
        <v>1092471</v>
      </c>
      <c r="L36" s="140">
        <f t="shared" si="10"/>
        <v>1011161.5</v>
      </c>
      <c r="M36" s="140">
        <f t="shared" si="10"/>
        <v>1027944</v>
      </c>
      <c r="N36" s="140">
        <f t="shared" si="10"/>
        <v>0</v>
      </c>
      <c r="O36" s="141">
        <f t="shared" si="10"/>
        <v>0</v>
      </c>
      <c r="P36" s="49" t="b">
        <f t="shared" si="4"/>
        <v>1</v>
      </c>
      <c r="Q36" s="50" t="b">
        <f t="shared" si="5"/>
        <v>1</v>
      </c>
      <c r="R36" s="117"/>
      <c r="S36" s="117"/>
      <c r="T36" s="35"/>
      <c r="U36" s="35"/>
    </row>
    <row r="37" spans="1:21" ht="39.75" customHeight="1">
      <c r="A37" s="142" t="s">
        <v>13</v>
      </c>
      <c r="B37" s="143">
        <f>B24+B33</f>
        <v>101</v>
      </c>
      <c r="C37" s="144">
        <f aca="true" t="shared" si="11" ref="C37:O38">C24+C33</f>
        <v>244577050</v>
      </c>
      <c r="D37" s="144">
        <f t="shared" si="11"/>
        <v>117876010.42000002</v>
      </c>
      <c r="E37" s="144">
        <f t="shared" si="11"/>
        <v>126701039.57999998</v>
      </c>
      <c r="F37" s="144">
        <f t="shared" si="11"/>
        <v>0</v>
      </c>
      <c r="G37" s="144">
        <f t="shared" si="11"/>
        <v>0</v>
      </c>
      <c r="H37" s="144">
        <f t="shared" si="11"/>
        <v>0</v>
      </c>
      <c r="I37" s="144">
        <f t="shared" si="11"/>
        <v>126701039.57999998</v>
      </c>
      <c r="J37" s="144">
        <f t="shared" si="11"/>
        <v>0</v>
      </c>
      <c r="K37" s="144">
        <f t="shared" si="11"/>
        <v>0</v>
      </c>
      <c r="L37" s="144">
        <f t="shared" si="11"/>
        <v>0</v>
      </c>
      <c r="M37" s="144">
        <f t="shared" si="11"/>
        <v>0</v>
      </c>
      <c r="N37" s="144">
        <f t="shared" si="11"/>
        <v>0</v>
      </c>
      <c r="O37" s="145">
        <f t="shared" si="11"/>
        <v>0</v>
      </c>
      <c r="P37" s="49" t="b">
        <f t="shared" si="4"/>
        <v>1</v>
      </c>
      <c r="Q37" s="50" t="b">
        <f t="shared" si="5"/>
        <v>1</v>
      </c>
      <c r="R37" s="117"/>
      <c r="S37" s="117"/>
      <c r="T37" s="35"/>
      <c r="U37" s="35"/>
    </row>
    <row r="38" spans="1:21" ht="39.75" customHeight="1">
      <c r="A38" s="146" t="s">
        <v>14</v>
      </c>
      <c r="B38" s="147">
        <f>B25+B34</f>
        <v>51</v>
      </c>
      <c r="C38" s="148">
        <f t="shared" si="11"/>
        <v>341086516</v>
      </c>
      <c r="D38" s="148">
        <f t="shared" si="11"/>
        <v>162969886.75</v>
      </c>
      <c r="E38" s="148">
        <f t="shared" si="11"/>
        <v>178116629.25</v>
      </c>
      <c r="F38" s="148">
        <f t="shared" si="11"/>
        <v>0</v>
      </c>
      <c r="G38" s="148">
        <f t="shared" si="11"/>
        <v>0</v>
      </c>
      <c r="H38" s="148">
        <f t="shared" si="11"/>
        <v>0</v>
      </c>
      <c r="I38" s="148">
        <f t="shared" si="11"/>
        <v>69947410.65</v>
      </c>
      <c r="J38" s="148">
        <f t="shared" si="11"/>
        <v>89269887.6</v>
      </c>
      <c r="K38" s="148">
        <f t="shared" si="11"/>
        <v>16474331</v>
      </c>
      <c r="L38" s="148">
        <f t="shared" si="11"/>
        <v>2425000</v>
      </c>
      <c r="M38" s="148">
        <f t="shared" si="11"/>
        <v>0</v>
      </c>
      <c r="N38" s="148">
        <f t="shared" si="11"/>
        <v>0</v>
      </c>
      <c r="O38" s="149">
        <f t="shared" si="11"/>
        <v>0</v>
      </c>
      <c r="P38" s="49" t="b">
        <f t="shared" si="4"/>
        <v>1</v>
      </c>
      <c r="Q38" s="50" t="b">
        <f t="shared" si="5"/>
        <v>1</v>
      </c>
      <c r="R38" s="117"/>
      <c r="S38" s="117"/>
      <c r="T38" s="35"/>
      <c r="U38" s="35"/>
    </row>
    <row r="39" spans="1:21" ht="12.75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17"/>
      <c r="S39" s="117"/>
      <c r="T39" s="35"/>
      <c r="U39" s="35"/>
    </row>
    <row r="40" spans="1:21" ht="12.75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17"/>
      <c r="S40" s="117"/>
      <c r="T40" s="35"/>
      <c r="U40" s="35"/>
    </row>
    <row r="41" spans="1:21" ht="12.75">
      <c r="A41" s="150"/>
      <c r="B41" s="151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17"/>
      <c r="S41" s="117"/>
      <c r="T41" s="35"/>
      <c r="U41" s="35"/>
    </row>
    <row r="42" spans="1:21" ht="12.75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17"/>
      <c r="S42" s="117"/>
      <c r="T42" s="35"/>
      <c r="U42" s="35"/>
    </row>
    <row r="43" spans="1:21" ht="12.75">
      <c r="A43" s="34"/>
      <c r="B43" s="15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  <c r="S43" s="35"/>
      <c r="T43" s="35"/>
      <c r="U43" s="35"/>
    </row>
    <row r="44" spans="1:21" ht="12.75">
      <c r="A44" s="34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34"/>
      <c r="Q44" s="34"/>
      <c r="R44" s="35"/>
      <c r="S44" s="35"/>
      <c r="T44" s="35"/>
      <c r="U44" s="35"/>
    </row>
    <row r="45" spans="1:21" ht="12.75">
      <c r="A45" s="34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34"/>
      <c r="Q45" s="34"/>
      <c r="R45" s="35"/>
      <c r="S45" s="35"/>
      <c r="T45" s="35"/>
      <c r="U45" s="35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sheetProtection selectLockedCells="1" selectUnlockedCells="1"/>
  <mergeCells count="8">
    <mergeCell ref="F2:N6"/>
    <mergeCell ref="F7:N7"/>
    <mergeCell ref="A12:A13"/>
    <mergeCell ref="B12:B13"/>
    <mergeCell ref="C12:C13"/>
    <mergeCell ref="D12:D13"/>
    <mergeCell ref="E12:E13"/>
    <mergeCell ref="F12:O12"/>
  </mergeCells>
  <printOptions horizontalCentered="1" verticalCentered="1"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&amp;LWojewództwo 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1"/>
  <sheetViews>
    <sheetView showGridLines="0" view="pageBreakPreview" zoomScale="110" zoomScaleNormal="78" zoomScaleSheetLayoutView="110" workbookViewId="0" topLeftCell="A1">
      <selection activeCell="F31" sqref="F31"/>
    </sheetView>
  </sheetViews>
  <sheetFormatPr defaultColWidth="9.140625" defaultRowHeight="15"/>
  <cols>
    <col min="1" max="1" width="8.7109375" style="153" customWidth="1"/>
    <col min="2" max="2" width="15.28125" style="154" customWidth="1"/>
    <col min="3" max="3" width="17.421875" style="153" customWidth="1"/>
    <col min="4" max="4" width="24.7109375" style="155" customWidth="1"/>
    <col min="5" max="5" width="10.7109375" style="156" customWidth="1"/>
    <col min="6" max="6" width="46.421875" style="157" customWidth="1"/>
    <col min="7" max="7" width="8.7109375" style="153" customWidth="1"/>
    <col min="8" max="8" width="15.8515625" style="153" customWidth="1"/>
    <col min="9" max="9" width="15.8515625" style="158" customWidth="1"/>
    <col min="10" max="10" width="17.00390625" style="159" customWidth="1"/>
    <col min="11" max="11" width="18.28125" style="160" customWidth="1"/>
    <col min="12" max="12" width="16.421875" style="159" customWidth="1"/>
    <col min="13" max="13" width="14.28125" style="161" customWidth="1"/>
    <col min="14" max="14" width="11.57421875" style="162" customWidth="1"/>
    <col min="15" max="15" width="12.7109375" style="162" customWidth="1"/>
    <col min="16" max="16" width="13.28125" style="162" customWidth="1"/>
    <col min="17" max="17" width="17.421875" style="162" customWidth="1"/>
    <col min="18" max="18" width="15.28125" style="162" customWidth="1"/>
    <col min="19" max="19" width="14.140625" style="162" customWidth="1"/>
    <col min="20" max="21" width="9.8515625" style="162" customWidth="1"/>
    <col min="22" max="22" width="10.7109375" style="162" customWidth="1"/>
    <col min="23" max="23" width="14.140625" style="162" customWidth="1"/>
    <col min="24" max="24" width="15.7109375" style="163" customWidth="1"/>
    <col min="25" max="26" width="15.7109375" style="164" customWidth="1"/>
    <col min="27" max="27" width="15.7109375" style="163" customWidth="1"/>
    <col min="28" max="28" width="9.140625" style="157" customWidth="1"/>
    <col min="29" max="29" width="14.421875" style="157" customWidth="1"/>
    <col min="30" max="30" width="16.8515625" style="157" customWidth="1"/>
    <col min="31" max="31" width="13.7109375" style="157" customWidth="1"/>
    <col min="32" max="32" width="13.8515625" style="157" customWidth="1"/>
    <col min="33" max="16384" width="9.140625" style="157" customWidth="1"/>
  </cols>
  <sheetData>
    <row r="1" spans="1:74" s="171" customFormat="1" ht="19.5" customHeight="1">
      <c r="A1" s="165" t="s">
        <v>21</v>
      </c>
      <c r="B1" s="165" t="s">
        <v>22</v>
      </c>
      <c r="C1" s="166" t="s">
        <v>23</v>
      </c>
      <c r="D1" s="165" t="s">
        <v>24</v>
      </c>
      <c r="E1" s="165" t="s">
        <v>25</v>
      </c>
      <c r="F1" s="165" t="s">
        <v>26</v>
      </c>
      <c r="G1" s="165" t="s">
        <v>27</v>
      </c>
      <c r="H1" s="165" t="s">
        <v>28</v>
      </c>
      <c r="I1" s="165" t="s">
        <v>29</v>
      </c>
      <c r="J1" s="165" t="s">
        <v>30</v>
      </c>
      <c r="K1" s="165" t="s">
        <v>31</v>
      </c>
      <c r="L1" s="165" t="s">
        <v>32</v>
      </c>
      <c r="M1" s="165" t="s">
        <v>33</v>
      </c>
      <c r="N1" s="165" t="s">
        <v>10</v>
      </c>
      <c r="O1" s="165"/>
      <c r="P1" s="165"/>
      <c r="Q1" s="165"/>
      <c r="R1" s="165"/>
      <c r="S1" s="165"/>
      <c r="T1" s="165"/>
      <c r="U1" s="165"/>
      <c r="V1" s="165"/>
      <c r="W1" s="165"/>
      <c r="X1" s="167"/>
      <c r="Y1" s="167"/>
      <c r="Z1" s="167"/>
      <c r="AA1" s="168"/>
      <c r="AB1" s="169"/>
      <c r="AC1" s="170"/>
      <c r="AD1" s="169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</row>
    <row r="2" spans="1:74" s="171" customFormat="1" ht="27.75" customHeight="1">
      <c r="A2" s="165"/>
      <c r="B2" s="165"/>
      <c r="C2" s="166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>
        <v>2019</v>
      </c>
      <c r="O2" s="165">
        <v>2020</v>
      </c>
      <c r="P2" s="165">
        <v>2021</v>
      </c>
      <c r="Q2" s="165">
        <v>2022</v>
      </c>
      <c r="R2" s="165">
        <v>2023</v>
      </c>
      <c r="S2" s="165">
        <v>2024</v>
      </c>
      <c r="T2" s="165">
        <v>2025</v>
      </c>
      <c r="U2" s="165">
        <v>2026</v>
      </c>
      <c r="V2" s="165">
        <v>2027</v>
      </c>
      <c r="W2" s="172">
        <v>2028</v>
      </c>
      <c r="X2" s="167" t="s">
        <v>34</v>
      </c>
      <c r="Y2" s="167" t="s">
        <v>35</v>
      </c>
      <c r="Z2" s="167" t="s">
        <v>36</v>
      </c>
      <c r="AA2" s="173" t="s">
        <v>37</v>
      </c>
      <c r="AB2" s="169"/>
      <c r="AC2" s="169"/>
      <c r="AD2" s="169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</row>
    <row r="3" spans="1:74" s="191" customFormat="1" ht="12.75">
      <c r="A3" s="174">
        <v>1</v>
      </c>
      <c r="B3" s="175" t="s">
        <v>38</v>
      </c>
      <c r="C3" s="174" t="s">
        <v>39</v>
      </c>
      <c r="D3" s="176" t="s">
        <v>40</v>
      </c>
      <c r="E3" s="175">
        <v>2404</v>
      </c>
      <c r="F3" s="177" t="s">
        <v>41</v>
      </c>
      <c r="G3" s="174" t="s">
        <v>42</v>
      </c>
      <c r="H3" s="178">
        <v>15.569</v>
      </c>
      <c r="I3" s="174" t="s">
        <v>43</v>
      </c>
      <c r="J3" s="179">
        <v>29242719.93</v>
      </c>
      <c r="K3" s="180">
        <v>16083495.96</v>
      </c>
      <c r="L3" s="180">
        <v>13159223.97</v>
      </c>
      <c r="M3" s="181">
        <f>K3/J3</f>
        <v>0.5499999999487052</v>
      </c>
      <c r="N3" s="182">
        <v>1226775</v>
      </c>
      <c r="O3" s="182">
        <v>4629929</v>
      </c>
      <c r="P3" s="182">
        <v>5112572.5</v>
      </c>
      <c r="Q3" s="183">
        <v>5114219.46</v>
      </c>
      <c r="R3" s="183"/>
      <c r="S3" s="183"/>
      <c r="T3" s="183"/>
      <c r="U3" s="180"/>
      <c r="V3" s="184"/>
      <c r="W3" s="180"/>
      <c r="X3" s="167" t="b">
        <f aca="true" t="shared" si="0" ref="X3:X38">K3=SUM(N3:W3)</f>
        <v>1</v>
      </c>
      <c r="Y3" s="185">
        <f aca="true" t="shared" si="1" ref="Y3:Y38">ROUND(K3/J3,4)</f>
        <v>0.55</v>
      </c>
      <c r="Z3" s="186" t="b">
        <f aca="true" t="shared" si="2" ref="Z3:Z38">Y3=M3</f>
        <v>0</v>
      </c>
      <c r="AA3" s="186" t="b">
        <f aca="true" t="shared" si="3" ref="AA3:AA38">J3=K3+L3</f>
        <v>1</v>
      </c>
      <c r="AB3" s="187"/>
      <c r="AC3" s="187"/>
      <c r="AD3" s="188"/>
      <c r="AE3" s="189"/>
      <c r="AF3" s="189"/>
      <c r="AG3" s="189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</row>
    <row r="4" spans="1:74" s="191" customFormat="1" ht="12.75">
      <c r="A4" s="174">
        <v>2</v>
      </c>
      <c r="B4" s="175" t="s">
        <v>44</v>
      </c>
      <c r="C4" s="174" t="s">
        <v>39</v>
      </c>
      <c r="D4" s="176" t="s">
        <v>40</v>
      </c>
      <c r="E4" s="175">
        <v>2404</v>
      </c>
      <c r="F4" s="177" t="s">
        <v>45</v>
      </c>
      <c r="G4" s="174" t="s">
        <v>42</v>
      </c>
      <c r="H4" s="178">
        <v>3.35</v>
      </c>
      <c r="I4" s="174" t="s">
        <v>46</v>
      </c>
      <c r="J4" s="179">
        <v>7600000</v>
      </c>
      <c r="K4" s="180">
        <v>4180000.0000000005</v>
      </c>
      <c r="L4" s="180">
        <v>3420000</v>
      </c>
      <c r="M4" s="181">
        <f>K4/J4</f>
        <v>0.55</v>
      </c>
      <c r="N4" s="182">
        <v>606100</v>
      </c>
      <c r="O4" s="182">
        <v>1324400</v>
      </c>
      <c r="P4" s="182">
        <v>1324400</v>
      </c>
      <c r="Q4" s="183">
        <v>925100.0000000001</v>
      </c>
      <c r="R4" s="183"/>
      <c r="S4" s="192"/>
      <c r="T4" s="192"/>
      <c r="U4" s="193"/>
      <c r="V4" s="194"/>
      <c r="W4" s="180"/>
      <c r="X4" s="167" t="b">
        <f t="shared" si="0"/>
        <v>1</v>
      </c>
      <c r="Y4" s="185">
        <f t="shared" si="1"/>
        <v>0.55</v>
      </c>
      <c r="Z4" s="186" t="b">
        <f t="shared" si="2"/>
        <v>1</v>
      </c>
      <c r="AA4" s="186" t="b">
        <f t="shared" si="3"/>
        <v>1</v>
      </c>
      <c r="AB4" s="187"/>
      <c r="AC4" s="187"/>
      <c r="AD4" s="188"/>
      <c r="AE4" s="189"/>
      <c r="AF4" s="189"/>
      <c r="AG4" s="189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</row>
    <row r="5" spans="1:74" s="191" customFormat="1" ht="12.75">
      <c r="A5" s="174">
        <v>3</v>
      </c>
      <c r="B5" s="175" t="s">
        <v>47</v>
      </c>
      <c r="C5" s="174" t="s">
        <v>39</v>
      </c>
      <c r="D5" s="176" t="s">
        <v>48</v>
      </c>
      <c r="E5" s="195">
        <v>2463</v>
      </c>
      <c r="F5" s="177" t="s">
        <v>49</v>
      </c>
      <c r="G5" s="174" t="s">
        <v>42</v>
      </c>
      <c r="H5" s="178">
        <v>2.133</v>
      </c>
      <c r="I5" s="196" t="s">
        <v>50</v>
      </c>
      <c r="J5" s="179">
        <v>24781777.58</v>
      </c>
      <c r="K5" s="180">
        <v>12390888.79</v>
      </c>
      <c r="L5" s="180">
        <v>12390888.79</v>
      </c>
      <c r="M5" s="181">
        <v>0.5</v>
      </c>
      <c r="N5" s="182">
        <v>1855000</v>
      </c>
      <c r="O5" s="182">
        <v>4177811.79</v>
      </c>
      <c r="P5" s="182">
        <v>4395000</v>
      </c>
      <c r="Q5" s="183">
        <v>1963077</v>
      </c>
      <c r="R5" s="183"/>
      <c r="S5" s="183"/>
      <c r="T5" s="183"/>
      <c r="U5" s="180"/>
      <c r="V5" s="184"/>
      <c r="W5" s="180"/>
      <c r="X5" s="167" t="b">
        <f t="shared" si="0"/>
        <v>1</v>
      </c>
      <c r="Y5" s="185">
        <f t="shared" si="1"/>
        <v>0.5</v>
      </c>
      <c r="Z5" s="186" t="b">
        <f t="shared" si="2"/>
        <v>1</v>
      </c>
      <c r="AA5" s="186" t="b">
        <f t="shared" si="3"/>
        <v>1</v>
      </c>
      <c r="AB5" s="187"/>
      <c r="AC5" s="187"/>
      <c r="AD5" s="188"/>
      <c r="AE5" s="189"/>
      <c r="AF5" s="189"/>
      <c r="AG5" s="189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</row>
    <row r="6" spans="1:74" s="191" customFormat="1" ht="12.75">
      <c r="A6" s="174">
        <v>4</v>
      </c>
      <c r="B6" s="174" t="s">
        <v>51</v>
      </c>
      <c r="C6" s="174" t="s">
        <v>39</v>
      </c>
      <c r="D6" s="177" t="s">
        <v>52</v>
      </c>
      <c r="E6" s="197" t="s">
        <v>53</v>
      </c>
      <c r="F6" s="177" t="s">
        <v>54</v>
      </c>
      <c r="G6" s="174" t="s">
        <v>42</v>
      </c>
      <c r="H6" s="198">
        <v>1.92</v>
      </c>
      <c r="I6" s="199" t="s">
        <v>55</v>
      </c>
      <c r="J6" s="179">
        <v>7841830.94</v>
      </c>
      <c r="K6" s="179">
        <v>3920915</v>
      </c>
      <c r="L6" s="180">
        <v>3920915.94</v>
      </c>
      <c r="M6" s="181">
        <v>0.5</v>
      </c>
      <c r="N6" s="182">
        <v>0</v>
      </c>
      <c r="O6" s="182">
        <v>500000</v>
      </c>
      <c r="P6" s="182">
        <v>1900000</v>
      </c>
      <c r="Q6" s="183">
        <v>1520915</v>
      </c>
      <c r="R6" s="183"/>
      <c r="S6" s="183"/>
      <c r="T6" s="183"/>
      <c r="U6" s="180"/>
      <c r="V6" s="184"/>
      <c r="W6" s="180"/>
      <c r="X6" s="167" t="b">
        <f t="shared" si="0"/>
        <v>1</v>
      </c>
      <c r="Y6" s="185">
        <f t="shared" si="1"/>
        <v>0.5</v>
      </c>
      <c r="Z6" s="186" t="b">
        <f t="shared" si="2"/>
        <v>1</v>
      </c>
      <c r="AA6" s="186" t="b">
        <f t="shared" si="3"/>
        <v>1</v>
      </c>
      <c r="AB6" s="187"/>
      <c r="AC6" s="187"/>
      <c r="AD6" s="188"/>
      <c r="AE6" s="189"/>
      <c r="AF6" s="189"/>
      <c r="AG6" s="189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</row>
    <row r="7" spans="1:74" s="191" customFormat="1" ht="12.75">
      <c r="A7" s="174">
        <v>5</v>
      </c>
      <c r="B7" s="174" t="s">
        <v>56</v>
      </c>
      <c r="C7" s="174" t="s">
        <v>39</v>
      </c>
      <c r="D7" s="177" t="s">
        <v>57</v>
      </c>
      <c r="E7" s="195">
        <v>2467</v>
      </c>
      <c r="F7" s="177" t="s">
        <v>58</v>
      </c>
      <c r="G7" s="174" t="s">
        <v>59</v>
      </c>
      <c r="H7" s="198">
        <v>0.596</v>
      </c>
      <c r="I7" s="199" t="s">
        <v>60</v>
      </c>
      <c r="J7" s="179">
        <v>18369221.299999997</v>
      </c>
      <c r="K7" s="179">
        <v>9184610.65</v>
      </c>
      <c r="L7" s="180">
        <v>9184610.649999997</v>
      </c>
      <c r="M7" s="181">
        <v>0.5</v>
      </c>
      <c r="N7" s="182">
        <v>0</v>
      </c>
      <c r="O7" s="182">
        <v>2700000</v>
      </c>
      <c r="P7" s="183">
        <v>6484610.65</v>
      </c>
      <c r="Q7" s="183">
        <v>0</v>
      </c>
      <c r="R7" s="183"/>
      <c r="S7" s="183"/>
      <c r="T7" s="183"/>
      <c r="U7" s="180"/>
      <c r="V7" s="184"/>
      <c r="W7" s="180"/>
      <c r="X7" s="167" t="b">
        <f t="shared" si="0"/>
        <v>1</v>
      </c>
      <c r="Y7" s="185">
        <f t="shared" si="1"/>
        <v>0.5</v>
      </c>
      <c r="Z7" s="186" t="b">
        <f t="shared" si="2"/>
        <v>1</v>
      </c>
      <c r="AA7" s="186" t="b">
        <f t="shared" si="3"/>
        <v>1</v>
      </c>
      <c r="AB7" s="187"/>
      <c r="AC7" s="187"/>
      <c r="AD7" s="188"/>
      <c r="AE7" s="189"/>
      <c r="AF7" s="189"/>
      <c r="AG7" s="189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</row>
    <row r="8" spans="1:74" s="191" customFormat="1" ht="12.75">
      <c r="A8" s="174">
        <v>6</v>
      </c>
      <c r="B8" s="174" t="s">
        <v>61</v>
      </c>
      <c r="C8" s="174" t="s">
        <v>39</v>
      </c>
      <c r="D8" s="177" t="s">
        <v>62</v>
      </c>
      <c r="E8" s="195">
        <v>2410</v>
      </c>
      <c r="F8" s="177" t="s">
        <v>63</v>
      </c>
      <c r="G8" s="174" t="s">
        <v>42</v>
      </c>
      <c r="H8" s="198">
        <v>2.237</v>
      </c>
      <c r="I8" s="199" t="s">
        <v>64</v>
      </c>
      <c r="J8" s="179">
        <v>5498316.84</v>
      </c>
      <c r="K8" s="179">
        <v>3024074.26</v>
      </c>
      <c r="L8" s="180">
        <v>2474242.58</v>
      </c>
      <c r="M8" s="181">
        <v>0.5499999996362523</v>
      </c>
      <c r="N8" s="182">
        <v>0</v>
      </c>
      <c r="O8" s="182">
        <v>3024074.26</v>
      </c>
      <c r="P8" s="183">
        <v>0</v>
      </c>
      <c r="Q8" s="183">
        <v>0</v>
      </c>
      <c r="R8" s="183"/>
      <c r="S8" s="183"/>
      <c r="T8" s="183"/>
      <c r="U8" s="180"/>
      <c r="V8" s="184"/>
      <c r="W8" s="180"/>
      <c r="X8" s="167" t="b">
        <f t="shared" si="0"/>
        <v>1</v>
      </c>
      <c r="Y8" s="185">
        <f t="shared" si="1"/>
        <v>0.55</v>
      </c>
      <c r="Z8" s="186" t="b">
        <f t="shared" si="2"/>
        <v>0</v>
      </c>
      <c r="AA8" s="186" t="b">
        <f t="shared" si="3"/>
        <v>1</v>
      </c>
      <c r="AB8" s="187"/>
      <c r="AC8" s="187"/>
      <c r="AD8" s="188"/>
      <c r="AE8" s="189"/>
      <c r="AF8" s="189"/>
      <c r="AG8" s="189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</row>
    <row r="9" spans="1:74" s="191" customFormat="1" ht="12.75">
      <c r="A9" s="174">
        <v>7</v>
      </c>
      <c r="B9" s="174" t="s">
        <v>65</v>
      </c>
      <c r="C9" s="174" t="s">
        <v>39</v>
      </c>
      <c r="D9" s="177" t="s">
        <v>66</v>
      </c>
      <c r="E9" s="195">
        <v>2470</v>
      </c>
      <c r="F9" s="177" t="s">
        <v>67</v>
      </c>
      <c r="G9" s="174" t="s">
        <v>42</v>
      </c>
      <c r="H9" s="198">
        <v>0.833</v>
      </c>
      <c r="I9" s="199" t="s">
        <v>68</v>
      </c>
      <c r="J9" s="179">
        <f>K9+L9</f>
        <v>5255405.529999999</v>
      </c>
      <c r="K9" s="179">
        <v>2627702.76</v>
      </c>
      <c r="L9" s="180">
        <v>2627702.77</v>
      </c>
      <c r="M9" s="181">
        <v>0.5</v>
      </c>
      <c r="N9" s="182">
        <v>0</v>
      </c>
      <c r="O9" s="182">
        <v>0</v>
      </c>
      <c r="P9" s="183">
        <f>K9</f>
        <v>2627702.76</v>
      </c>
      <c r="Q9" s="183">
        <v>0</v>
      </c>
      <c r="R9" s="183"/>
      <c r="S9" s="183"/>
      <c r="T9" s="183"/>
      <c r="U9" s="180"/>
      <c r="V9" s="184"/>
      <c r="W9" s="180"/>
      <c r="X9" s="167" t="b">
        <f t="shared" si="0"/>
        <v>1</v>
      </c>
      <c r="Y9" s="185">
        <f t="shared" si="1"/>
        <v>0.5</v>
      </c>
      <c r="Z9" s="186" t="b">
        <f t="shared" si="2"/>
        <v>1</v>
      </c>
      <c r="AA9" s="186" t="b">
        <f t="shared" si="3"/>
        <v>1</v>
      </c>
      <c r="AB9" s="187"/>
      <c r="AC9" s="187"/>
      <c r="AD9" s="188"/>
      <c r="AE9" s="189"/>
      <c r="AF9" s="189"/>
      <c r="AG9" s="189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</row>
    <row r="10" spans="1:74" s="191" customFormat="1" ht="12.75">
      <c r="A10" s="174">
        <v>8</v>
      </c>
      <c r="B10" s="174" t="s">
        <v>69</v>
      </c>
      <c r="C10" s="174" t="s">
        <v>39</v>
      </c>
      <c r="D10" s="177" t="s">
        <v>70</v>
      </c>
      <c r="E10" s="178">
        <v>2476</v>
      </c>
      <c r="F10" s="177" t="s">
        <v>71</v>
      </c>
      <c r="G10" s="174" t="s">
        <v>42</v>
      </c>
      <c r="H10" s="200">
        <v>2.026</v>
      </c>
      <c r="I10" s="199" t="s">
        <v>72</v>
      </c>
      <c r="J10" s="179">
        <v>13165176.27</v>
      </c>
      <c r="K10" s="179">
        <f>P10+Q10+R10</f>
        <v>6582588.13</v>
      </c>
      <c r="L10" s="179">
        <f>J10-K10</f>
        <v>6582588.14</v>
      </c>
      <c r="M10" s="181">
        <v>0.5</v>
      </c>
      <c r="N10" s="182">
        <v>0</v>
      </c>
      <c r="O10" s="182">
        <v>0</v>
      </c>
      <c r="P10" s="182">
        <v>309000</v>
      </c>
      <c r="Q10" s="201">
        <v>5273588</v>
      </c>
      <c r="R10" s="183">
        <v>1000000.13</v>
      </c>
      <c r="S10" s="183"/>
      <c r="T10" s="183"/>
      <c r="U10" s="180"/>
      <c r="V10" s="184"/>
      <c r="W10" s="180"/>
      <c r="X10" s="167" t="b">
        <f t="shared" si="0"/>
        <v>1</v>
      </c>
      <c r="Y10" s="185">
        <f t="shared" si="1"/>
        <v>0.5</v>
      </c>
      <c r="Z10" s="186" t="b">
        <f t="shared" si="2"/>
        <v>1</v>
      </c>
      <c r="AA10" s="186" t="b">
        <f t="shared" si="3"/>
        <v>1</v>
      </c>
      <c r="AB10" s="187"/>
      <c r="AC10" s="187"/>
      <c r="AD10" s="188"/>
      <c r="AE10" s="189"/>
      <c r="AF10" s="189"/>
      <c r="AG10" s="189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</row>
    <row r="11" spans="1:74" s="191" customFormat="1" ht="12.75">
      <c r="A11" s="174">
        <v>9</v>
      </c>
      <c r="B11" s="174" t="s">
        <v>73</v>
      </c>
      <c r="C11" s="174" t="s">
        <v>39</v>
      </c>
      <c r="D11" s="177" t="s">
        <v>74</v>
      </c>
      <c r="E11" s="175">
        <v>2409</v>
      </c>
      <c r="F11" s="177" t="s">
        <v>75</v>
      </c>
      <c r="G11" s="174" t="s">
        <v>42</v>
      </c>
      <c r="H11" s="200">
        <v>0.884</v>
      </c>
      <c r="I11" s="199" t="s">
        <v>76</v>
      </c>
      <c r="J11" s="179">
        <v>5886023.3</v>
      </c>
      <c r="K11" s="179">
        <v>3237312.81</v>
      </c>
      <c r="L11" s="179">
        <v>2648710.49</v>
      </c>
      <c r="M11" s="181">
        <v>0.55</v>
      </c>
      <c r="N11" s="182">
        <v>0</v>
      </c>
      <c r="O11" s="182">
        <v>0</v>
      </c>
      <c r="P11" s="182">
        <v>2141369.45</v>
      </c>
      <c r="Q11" s="201">
        <v>1095943.36</v>
      </c>
      <c r="R11" s="183"/>
      <c r="S11" s="183"/>
      <c r="T11" s="183"/>
      <c r="U11" s="180"/>
      <c r="V11" s="184"/>
      <c r="W11" s="180"/>
      <c r="X11" s="167" t="b">
        <f t="shared" si="0"/>
        <v>1</v>
      </c>
      <c r="Y11" s="185">
        <f t="shared" si="1"/>
        <v>0.55</v>
      </c>
      <c r="Z11" s="186" t="b">
        <f t="shared" si="2"/>
        <v>1</v>
      </c>
      <c r="AA11" s="186" t="b">
        <f t="shared" si="3"/>
        <v>1</v>
      </c>
      <c r="AB11" s="187"/>
      <c r="AC11" s="187"/>
      <c r="AD11" s="188"/>
      <c r="AE11" s="189"/>
      <c r="AF11" s="189"/>
      <c r="AG11" s="189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</row>
    <row r="12" spans="1:74" s="191" customFormat="1" ht="12.75">
      <c r="A12" s="174">
        <v>10</v>
      </c>
      <c r="B12" s="174" t="s">
        <v>77</v>
      </c>
      <c r="C12" s="174" t="s">
        <v>39</v>
      </c>
      <c r="D12" s="177" t="s">
        <v>40</v>
      </c>
      <c r="E12" s="175">
        <v>2404</v>
      </c>
      <c r="F12" s="177" t="s">
        <v>78</v>
      </c>
      <c r="G12" s="174" t="s">
        <v>42</v>
      </c>
      <c r="H12" s="200">
        <v>2.178</v>
      </c>
      <c r="I12" s="202" t="s">
        <v>79</v>
      </c>
      <c r="J12" s="179">
        <v>4156516.51</v>
      </c>
      <c r="K12" s="179">
        <v>2078258.25</v>
      </c>
      <c r="L12" s="179">
        <v>2078258.26</v>
      </c>
      <c r="M12" s="181">
        <v>0.5</v>
      </c>
      <c r="N12" s="182">
        <v>0</v>
      </c>
      <c r="O12" s="182">
        <v>0</v>
      </c>
      <c r="P12" s="183">
        <v>1039129.12</v>
      </c>
      <c r="Q12" s="183">
        <v>1039129.13</v>
      </c>
      <c r="R12" s="183"/>
      <c r="S12" s="183"/>
      <c r="T12" s="183"/>
      <c r="U12" s="180"/>
      <c r="V12" s="184"/>
      <c r="W12" s="180"/>
      <c r="X12" s="167" t="b">
        <f t="shared" si="0"/>
        <v>1</v>
      </c>
      <c r="Y12" s="185">
        <f t="shared" si="1"/>
        <v>0.5</v>
      </c>
      <c r="Z12" s="186" t="b">
        <f t="shared" si="2"/>
        <v>1</v>
      </c>
      <c r="AA12" s="186" t="b">
        <f t="shared" si="3"/>
        <v>1</v>
      </c>
      <c r="AB12" s="187"/>
      <c r="AC12" s="187"/>
      <c r="AD12" s="188"/>
      <c r="AE12" s="189"/>
      <c r="AF12" s="189"/>
      <c r="AG12" s="189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</row>
    <row r="13" spans="1:74" s="205" customFormat="1" ht="12.75">
      <c r="A13" s="174">
        <v>11</v>
      </c>
      <c r="B13" s="174" t="s">
        <v>80</v>
      </c>
      <c r="C13" s="203" t="s">
        <v>39</v>
      </c>
      <c r="D13" s="204" t="s">
        <v>81</v>
      </c>
      <c r="E13" s="178">
        <v>2464</v>
      </c>
      <c r="F13" s="177" t="s">
        <v>82</v>
      </c>
      <c r="G13" s="174" t="s">
        <v>59</v>
      </c>
      <c r="H13" s="200">
        <v>1.185</v>
      </c>
      <c r="I13" s="202" t="s">
        <v>83</v>
      </c>
      <c r="J13" s="179">
        <v>9724985</v>
      </c>
      <c r="K13" s="179">
        <v>4862492.5</v>
      </c>
      <c r="L13" s="180">
        <f>J13-K13</f>
        <v>4862492.5</v>
      </c>
      <c r="M13" s="181">
        <v>0.5</v>
      </c>
      <c r="N13" s="182">
        <v>0</v>
      </c>
      <c r="O13" s="182">
        <v>0</v>
      </c>
      <c r="P13" s="182">
        <v>1620830.5</v>
      </c>
      <c r="Q13" s="183">
        <v>3241662</v>
      </c>
      <c r="R13" s="183"/>
      <c r="S13" s="183"/>
      <c r="T13" s="183"/>
      <c r="U13" s="180"/>
      <c r="V13" s="180"/>
      <c r="W13" s="180"/>
      <c r="X13" s="167" t="b">
        <f t="shared" si="0"/>
        <v>1</v>
      </c>
      <c r="Y13" s="185">
        <f t="shared" si="1"/>
        <v>0.5</v>
      </c>
      <c r="Z13" s="186" t="b">
        <f t="shared" si="2"/>
        <v>1</v>
      </c>
      <c r="AA13" s="186" t="b">
        <f t="shared" si="3"/>
        <v>1</v>
      </c>
      <c r="AB13" s="187"/>
      <c r="AC13" s="187"/>
      <c r="AD13" s="188"/>
      <c r="AE13" s="189"/>
      <c r="AF13" s="189"/>
      <c r="AG13" s="189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</row>
    <row r="14" spans="1:74" s="191" customFormat="1" ht="12.75">
      <c r="A14" s="174">
        <v>12</v>
      </c>
      <c r="B14" s="174" t="s">
        <v>84</v>
      </c>
      <c r="C14" s="174" t="s">
        <v>39</v>
      </c>
      <c r="D14" s="177" t="s">
        <v>85</v>
      </c>
      <c r="E14" s="175">
        <v>2413</v>
      </c>
      <c r="F14" s="177" t="s">
        <v>86</v>
      </c>
      <c r="G14" s="206" t="s">
        <v>87</v>
      </c>
      <c r="H14" s="200">
        <v>6.603</v>
      </c>
      <c r="I14" s="199" t="s">
        <v>88</v>
      </c>
      <c r="J14" s="179">
        <v>4554693.55</v>
      </c>
      <c r="K14" s="179">
        <v>2277346.77</v>
      </c>
      <c r="L14" s="179">
        <f>J14-K14</f>
        <v>2277346.78</v>
      </c>
      <c r="M14" s="181">
        <v>0.5</v>
      </c>
      <c r="N14" s="182">
        <v>0</v>
      </c>
      <c r="O14" s="182">
        <v>0</v>
      </c>
      <c r="P14" s="183">
        <v>1000000</v>
      </c>
      <c r="Q14" s="201">
        <v>1277346.77</v>
      </c>
      <c r="R14" s="183"/>
      <c r="S14" s="183"/>
      <c r="T14" s="183"/>
      <c r="U14" s="180"/>
      <c r="V14" s="184"/>
      <c r="W14" s="180"/>
      <c r="X14" s="167" t="b">
        <f t="shared" si="0"/>
        <v>1</v>
      </c>
      <c r="Y14" s="185">
        <f t="shared" si="1"/>
        <v>0.5</v>
      </c>
      <c r="Z14" s="186" t="b">
        <f t="shared" si="2"/>
        <v>1</v>
      </c>
      <c r="AA14" s="186" t="b">
        <f t="shared" si="3"/>
        <v>1</v>
      </c>
      <c r="AB14" s="187"/>
      <c r="AC14" s="187"/>
      <c r="AD14" s="188"/>
      <c r="AE14" s="189"/>
      <c r="AF14" s="189"/>
      <c r="AG14" s="189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</row>
    <row r="15" spans="1:74" s="191" customFormat="1" ht="12.75">
      <c r="A15" s="174">
        <v>13</v>
      </c>
      <c r="B15" s="174" t="s">
        <v>89</v>
      </c>
      <c r="C15" s="174" t="s">
        <v>39</v>
      </c>
      <c r="D15" s="177" t="s">
        <v>90</v>
      </c>
      <c r="E15" s="175">
        <v>2405</v>
      </c>
      <c r="F15" s="177" t="s">
        <v>91</v>
      </c>
      <c r="G15" s="174" t="s">
        <v>87</v>
      </c>
      <c r="H15" s="200">
        <v>3.395</v>
      </c>
      <c r="I15" s="199" t="s">
        <v>92</v>
      </c>
      <c r="J15" s="179">
        <v>2661648.5100000002</v>
      </c>
      <c r="K15" s="179">
        <v>1330824.25</v>
      </c>
      <c r="L15" s="179">
        <v>1330824.2600000002</v>
      </c>
      <c r="M15" s="181">
        <v>0.5</v>
      </c>
      <c r="N15" s="182">
        <v>0</v>
      </c>
      <c r="O15" s="182">
        <v>0</v>
      </c>
      <c r="P15" s="183">
        <v>0</v>
      </c>
      <c r="Q15" s="183">
        <v>1330824.25</v>
      </c>
      <c r="R15" s="183"/>
      <c r="S15" s="183"/>
      <c r="T15" s="183"/>
      <c r="U15" s="180"/>
      <c r="V15" s="184"/>
      <c r="W15" s="180"/>
      <c r="X15" s="167" t="b">
        <f t="shared" si="0"/>
        <v>1</v>
      </c>
      <c r="Y15" s="185">
        <f t="shared" si="1"/>
        <v>0.5</v>
      </c>
      <c r="Z15" s="186" t="b">
        <f t="shared" si="2"/>
        <v>1</v>
      </c>
      <c r="AA15" s="186" t="b">
        <f t="shared" si="3"/>
        <v>1</v>
      </c>
      <c r="AB15" s="187"/>
      <c r="AC15" s="187"/>
      <c r="AD15" s="188"/>
      <c r="AE15" s="189"/>
      <c r="AF15" s="189"/>
      <c r="AG15" s="189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</row>
    <row r="16" spans="1:56" s="191" customFormat="1" ht="12.75">
      <c r="A16" s="174">
        <v>14</v>
      </c>
      <c r="B16" s="174" t="s">
        <v>93</v>
      </c>
      <c r="C16" s="174" t="s">
        <v>39</v>
      </c>
      <c r="D16" s="204" t="s">
        <v>94</v>
      </c>
      <c r="E16" s="175">
        <v>2402</v>
      </c>
      <c r="F16" s="177" t="s">
        <v>95</v>
      </c>
      <c r="G16" s="174" t="s">
        <v>42</v>
      </c>
      <c r="H16" s="200">
        <v>3.459</v>
      </c>
      <c r="I16" s="199" t="s">
        <v>96</v>
      </c>
      <c r="J16" s="179">
        <v>11573674.69</v>
      </c>
      <c r="K16" s="179">
        <v>5786837</v>
      </c>
      <c r="L16" s="179">
        <f aca="true" t="shared" si="4" ref="L16:L38">J16-K16</f>
        <v>5786837.6899999995</v>
      </c>
      <c r="M16" s="181">
        <v>0.5</v>
      </c>
      <c r="N16" s="182">
        <v>0</v>
      </c>
      <c r="O16" s="182">
        <v>0</v>
      </c>
      <c r="P16" s="182">
        <v>3000000</v>
      </c>
      <c r="Q16" s="201">
        <v>2286837</v>
      </c>
      <c r="R16" s="183">
        <v>500000</v>
      </c>
      <c r="S16" s="183"/>
      <c r="T16" s="183"/>
      <c r="U16" s="183"/>
      <c r="V16" s="207"/>
      <c r="W16" s="183"/>
      <c r="X16" s="167" t="b">
        <f t="shared" si="0"/>
        <v>1</v>
      </c>
      <c r="Y16" s="185">
        <f t="shared" si="1"/>
        <v>0.5</v>
      </c>
      <c r="Z16" s="186" t="b">
        <f t="shared" si="2"/>
        <v>1</v>
      </c>
      <c r="AA16" s="186" t="b">
        <f t="shared" si="3"/>
        <v>1</v>
      </c>
      <c r="AB16" s="190"/>
      <c r="AC16" s="187"/>
      <c r="AD16" s="188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</row>
    <row r="17" spans="1:56" s="191" customFormat="1" ht="12.75">
      <c r="A17" s="174">
        <v>15</v>
      </c>
      <c r="B17" s="174" t="s">
        <v>97</v>
      </c>
      <c r="C17" s="174" t="s">
        <v>39</v>
      </c>
      <c r="D17" s="204" t="s">
        <v>98</v>
      </c>
      <c r="E17" s="175">
        <v>2410</v>
      </c>
      <c r="F17" s="177" t="s">
        <v>99</v>
      </c>
      <c r="G17" s="174" t="s">
        <v>42</v>
      </c>
      <c r="H17" s="200">
        <v>1.735</v>
      </c>
      <c r="I17" s="199" t="s">
        <v>100</v>
      </c>
      <c r="J17" s="179">
        <v>5011265</v>
      </c>
      <c r="K17" s="179">
        <v>2505632.5</v>
      </c>
      <c r="L17" s="179">
        <f t="shared" si="4"/>
        <v>2505632.5</v>
      </c>
      <c r="M17" s="181">
        <v>0.5</v>
      </c>
      <c r="N17" s="182">
        <v>0</v>
      </c>
      <c r="O17" s="182">
        <v>0</v>
      </c>
      <c r="P17" s="182">
        <v>1000000</v>
      </c>
      <c r="Q17" s="201">
        <v>1505632.5</v>
      </c>
      <c r="R17" s="183"/>
      <c r="S17" s="183"/>
      <c r="T17" s="183"/>
      <c r="U17" s="183"/>
      <c r="V17" s="207"/>
      <c r="W17" s="183"/>
      <c r="X17" s="167" t="b">
        <f t="shared" si="0"/>
        <v>1</v>
      </c>
      <c r="Y17" s="185">
        <f t="shared" si="1"/>
        <v>0.5</v>
      </c>
      <c r="Z17" s="186" t="b">
        <f t="shared" si="2"/>
        <v>1</v>
      </c>
      <c r="AA17" s="186" t="b">
        <f t="shared" si="3"/>
        <v>1</v>
      </c>
      <c r="AB17" s="190"/>
      <c r="AC17" s="187"/>
      <c r="AD17" s="188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</row>
    <row r="18" spans="1:56" s="205" customFormat="1" ht="31.5" customHeight="1">
      <c r="A18" s="174">
        <v>16</v>
      </c>
      <c r="B18" s="174" t="s">
        <v>101</v>
      </c>
      <c r="C18" s="203" t="s">
        <v>39</v>
      </c>
      <c r="D18" s="204" t="s">
        <v>102</v>
      </c>
      <c r="E18" s="175">
        <v>2415</v>
      </c>
      <c r="F18" s="177" t="s">
        <v>103</v>
      </c>
      <c r="G18" s="174" t="s">
        <v>42</v>
      </c>
      <c r="H18" s="200">
        <v>1.963</v>
      </c>
      <c r="I18" s="202" t="s">
        <v>104</v>
      </c>
      <c r="J18" s="179">
        <v>13288970</v>
      </c>
      <c r="K18" s="179">
        <f>P18+Q18</f>
        <v>7297141.500000001</v>
      </c>
      <c r="L18" s="180">
        <f t="shared" si="4"/>
        <v>5991828.499999999</v>
      </c>
      <c r="M18" s="208">
        <v>0.55</v>
      </c>
      <c r="N18" s="182">
        <v>0</v>
      </c>
      <c r="O18" s="182">
        <v>0</v>
      </c>
      <c r="P18" s="182">
        <v>3648570.7500000005</v>
      </c>
      <c r="Q18" s="183">
        <v>3648570.7500000005</v>
      </c>
      <c r="R18" s="183"/>
      <c r="S18" s="183"/>
      <c r="T18" s="183"/>
      <c r="U18" s="183"/>
      <c r="V18" s="183"/>
      <c r="W18" s="183"/>
      <c r="X18" s="167" t="b">
        <f t="shared" si="0"/>
        <v>1</v>
      </c>
      <c r="Y18" s="185">
        <f t="shared" si="1"/>
        <v>0.5491</v>
      </c>
      <c r="Z18" s="186" t="b">
        <f t="shared" si="2"/>
        <v>0</v>
      </c>
      <c r="AA18" s="186" t="b">
        <f t="shared" si="3"/>
        <v>1</v>
      </c>
      <c r="AB18" s="190"/>
      <c r="AC18" s="187"/>
      <c r="AD18" s="188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</row>
    <row r="19" spans="1:56" s="205" customFormat="1" ht="12.75">
      <c r="A19" s="174">
        <v>17</v>
      </c>
      <c r="B19" s="174" t="s">
        <v>105</v>
      </c>
      <c r="C19" s="203" t="s">
        <v>39</v>
      </c>
      <c r="D19" s="204" t="s">
        <v>106</v>
      </c>
      <c r="E19" s="175">
        <v>2402</v>
      </c>
      <c r="F19" s="177" t="s">
        <v>107</v>
      </c>
      <c r="G19" s="174" t="s">
        <v>42</v>
      </c>
      <c r="H19" s="200">
        <v>2.415</v>
      </c>
      <c r="I19" s="202" t="s">
        <v>108</v>
      </c>
      <c r="J19" s="179">
        <v>7097887.290000001</v>
      </c>
      <c r="K19" s="179">
        <v>3548943</v>
      </c>
      <c r="L19" s="180">
        <f t="shared" si="4"/>
        <v>3548944.290000001</v>
      </c>
      <c r="M19" s="208">
        <v>0.5</v>
      </c>
      <c r="N19" s="182">
        <v>0</v>
      </c>
      <c r="O19" s="182">
        <v>0</v>
      </c>
      <c r="P19" s="182">
        <v>2319457</v>
      </c>
      <c r="Q19" s="183">
        <v>1229486</v>
      </c>
      <c r="R19" s="183"/>
      <c r="S19" s="183"/>
      <c r="T19" s="183"/>
      <c r="U19" s="183"/>
      <c r="V19" s="183"/>
      <c r="W19" s="183"/>
      <c r="X19" s="167" t="b">
        <f t="shared" si="0"/>
        <v>1</v>
      </c>
      <c r="Y19" s="185">
        <f t="shared" si="1"/>
        <v>0.5</v>
      </c>
      <c r="Z19" s="186" t="b">
        <f t="shared" si="2"/>
        <v>1</v>
      </c>
      <c r="AA19" s="186" t="b">
        <f t="shared" si="3"/>
        <v>1</v>
      </c>
      <c r="AB19" s="190"/>
      <c r="AC19" s="187"/>
      <c r="AD19" s="188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</row>
    <row r="20" spans="1:56" s="205" customFormat="1" ht="12.75">
      <c r="A20" s="174">
        <v>18</v>
      </c>
      <c r="B20" s="174" t="s">
        <v>109</v>
      </c>
      <c r="C20" s="174" t="s">
        <v>110</v>
      </c>
      <c r="D20" s="204" t="s">
        <v>106</v>
      </c>
      <c r="E20" s="175">
        <v>2402</v>
      </c>
      <c r="F20" s="209" t="s">
        <v>111</v>
      </c>
      <c r="G20" s="174" t="s">
        <v>42</v>
      </c>
      <c r="H20" s="200">
        <v>0.492</v>
      </c>
      <c r="I20" s="199" t="s">
        <v>112</v>
      </c>
      <c r="J20" s="179">
        <v>3706543</v>
      </c>
      <c r="K20" s="179">
        <v>1853271.5</v>
      </c>
      <c r="L20" s="179">
        <f t="shared" si="4"/>
        <v>1853271.5</v>
      </c>
      <c r="M20" s="181">
        <v>0.5</v>
      </c>
      <c r="N20" s="182"/>
      <c r="O20" s="182"/>
      <c r="P20" s="183"/>
      <c r="Q20" s="183">
        <v>853271.5</v>
      </c>
      <c r="R20" s="183">
        <v>1000000</v>
      </c>
      <c r="S20" s="183"/>
      <c r="T20" s="183"/>
      <c r="U20" s="183"/>
      <c r="V20" s="183"/>
      <c r="W20" s="183"/>
      <c r="X20" s="167" t="b">
        <f t="shared" si="0"/>
        <v>1</v>
      </c>
      <c r="Y20" s="185">
        <f t="shared" si="1"/>
        <v>0.5</v>
      </c>
      <c r="Z20" s="186" t="b">
        <f t="shared" si="2"/>
        <v>1</v>
      </c>
      <c r="AA20" s="186" t="b">
        <f t="shared" si="3"/>
        <v>1</v>
      </c>
      <c r="AB20" s="191"/>
      <c r="AC20" s="187"/>
      <c r="AD20" s="188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</row>
    <row r="21" spans="1:56" s="205" customFormat="1" ht="12.75">
      <c r="A21" s="174">
        <v>19</v>
      </c>
      <c r="B21" s="174" t="s">
        <v>113</v>
      </c>
      <c r="C21" s="174" t="s">
        <v>110</v>
      </c>
      <c r="D21" s="204" t="s">
        <v>62</v>
      </c>
      <c r="E21" s="175">
        <v>2410</v>
      </c>
      <c r="F21" s="209" t="s">
        <v>114</v>
      </c>
      <c r="G21" s="174" t="s">
        <v>42</v>
      </c>
      <c r="H21" s="200">
        <v>1.3</v>
      </c>
      <c r="I21" s="199" t="s">
        <v>115</v>
      </c>
      <c r="J21" s="179">
        <v>3300000</v>
      </c>
      <c r="K21" s="179">
        <v>1650000</v>
      </c>
      <c r="L21" s="179">
        <f t="shared" si="4"/>
        <v>1650000</v>
      </c>
      <c r="M21" s="181">
        <v>0.5</v>
      </c>
      <c r="N21" s="182"/>
      <c r="O21" s="182"/>
      <c r="P21" s="183"/>
      <c r="Q21" s="183">
        <v>50000</v>
      </c>
      <c r="R21" s="183">
        <v>800000</v>
      </c>
      <c r="S21" s="183">
        <v>800000</v>
      </c>
      <c r="T21" s="183"/>
      <c r="U21" s="183"/>
      <c r="V21" s="183"/>
      <c r="W21" s="183"/>
      <c r="X21" s="167" t="b">
        <f t="shared" si="0"/>
        <v>1</v>
      </c>
      <c r="Y21" s="185">
        <f t="shared" si="1"/>
        <v>0.5</v>
      </c>
      <c r="Z21" s="186" t="b">
        <f t="shared" si="2"/>
        <v>1</v>
      </c>
      <c r="AA21" s="186" t="b">
        <f t="shared" si="3"/>
        <v>1</v>
      </c>
      <c r="AB21" s="191"/>
      <c r="AC21" s="187"/>
      <c r="AD21" s="188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</row>
    <row r="22" spans="1:56" s="223" customFormat="1" ht="12.75">
      <c r="A22" s="174">
        <v>20</v>
      </c>
      <c r="B22" s="206" t="s">
        <v>116</v>
      </c>
      <c r="C22" s="206" t="s">
        <v>117</v>
      </c>
      <c r="D22" s="210" t="s">
        <v>118</v>
      </c>
      <c r="E22" s="211">
        <v>2403</v>
      </c>
      <c r="F22" s="212" t="s">
        <v>119</v>
      </c>
      <c r="G22" s="206" t="s">
        <v>59</v>
      </c>
      <c r="H22" s="213">
        <v>0.985</v>
      </c>
      <c r="I22" s="214" t="s">
        <v>120</v>
      </c>
      <c r="J22" s="215">
        <v>6861403</v>
      </c>
      <c r="K22" s="216">
        <v>3773771.6500000004</v>
      </c>
      <c r="L22" s="216">
        <f t="shared" si="4"/>
        <v>3087631.3499999996</v>
      </c>
      <c r="M22" s="217">
        <v>0.55</v>
      </c>
      <c r="N22" s="218"/>
      <c r="O22" s="218"/>
      <c r="P22" s="219"/>
      <c r="Q22" s="219">
        <v>3773771.6500000004</v>
      </c>
      <c r="R22" s="219"/>
      <c r="S22" s="219"/>
      <c r="T22" s="219"/>
      <c r="U22" s="219"/>
      <c r="V22" s="219"/>
      <c r="W22" s="219"/>
      <c r="X22" s="167" t="b">
        <f t="shared" si="0"/>
        <v>1</v>
      </c>
      <c r="Y22" s="185">
        <f t="shared" si="1"/>
        <v>0.55</v>
      </c>
      <c r="Z22" s="186" t="b">
        <f t="shared" si="2"/>
        <v>1</v>
      </c>
      <c r="AA22" s="186" t="b">
        <f t="shared" si="3"/>
        <v>1</v>
      </c>
      <c r="AB22" s="220"/>
      <c r="AC22" s="221"/>
      <c r="AD22" s="222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</row>
    <row r="23" spans="1:56" s="223" customFormat="1" ht="12.75">
      <c r="A23" s="174">
        <v>21</v>
      </c>
      <c r="B23" s="206" t="s">
        <v>121</v>
      </c>
      <c r="C23" s="206" t="s">
        <v>117</v>
      </c>
      <c r="D23" s="210" t="s">
        <v>122</v>
      </c>
      <c r="E23" s="211">
        <v>2417</v>
      </c>
      <c r="F23" s="212" t="s">
        <v>123</v>
      </c>
      <c r="G23" s="206" t="s">
        <v>42</v>
      </c>
      <c r="H23" s="213">
        <v>1</v>
      </c>
      <c r="I23" s="214" t="s">
        <v>124</v>
      </c>
      <c r="J23" s="216">
        <v>2982577</v>
      </c>
      <c r="K23" s="216">
        <f>INT(J23*M23)</f>
        <v>1938675</v>
      </c>
      <c r="L23" s="216">
        <f t="shared" si="4"/>
        <v>1043902</v>
      </c>
      <c r="M23" s="217">
        <v>0.65</v>
      </c>
      <c r="N23" s="218"/>
      <c r="O23" s="218"/>
      <c r="P23" s="219"/>
      <c r="Q23" s="219">
        <f>K23</f>
        <v>1938675</v>
      </c>
      <c r="R23" s="219"/>
      <c r="S23" s="219"/>
      <c r="T23" s="219"/>
      <c r="U23" s="219"/>
      <c r="V23" s="219"/>
      <c r="W23" s="219"/>
      <c r="X23" s="167" t="b">
        <f t="shared" si="0"/>
        <v>1</v>
      </c>
      <c r="Y23" s="185">
        <f t="shared" si="1"/>
        <v>0.65</v>
      </c>
      <c r="Z23" s="186" t="b">
        <f t="shared" si="2"/>
        <v>1</v>
      </c>
      <c r="AA23" s="186" t="b">
        <f t="shared" si="3"/>
        <v>1</v>
      </c>
      <c r="AB23" s="220"/>
      <c r="AC23" s="221"/>
      <c r="AD23" s="222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</row>
    <row r="24" spans="1:56" s="223" customFormat="1" ht="12.75">
      <c r="A24" s="174">
        <v>22</v>
      </c>
      <c r="B24" s="206" t="s">
        <v>125</v>
      </c>
      <c r="C24" s="206" t="s">
        <v>117</v>
      </c>
      <c r="D24" s="210" t="s">
        <v>74</v>
      </c>
      <c r="E24" s="211">
        <v>2409</v>
      </c>
      <c r="F24" s="212" t="s">
        <v>126</v>
      </c>
      <c r="G24" s="206" t="s">
        <v>42</v>
      </c>
      <c r="H24" s="213">
        <v>4.054</v>
      </c>
      <c r="I24" s="214" t="s">
        <v>120</v>
      </c>
      <c r="J24" s="216">
        <v>11388774</v>
      </c>
      <c r="K24" s="216">
        <v>6263825.7</v>
      </c>
      <c r="L24" s="216">
        <f t="shared" si="4"/>
        <v>5124948.3</v>
      </c>
      <c r="M24" s="217">
        <v>0.55</v>
      </c>
      <c r="N24" s="218"/>
      <c r="O24" s="218"/>
      <c r="P24" s="219"/>
      <c r="Q24" s="219">
        <v>6263825.7</v>
      </c>
      <c r="R24" s="219"/>
      <c r="S24" s="219"/>
      <c r="T24" s="219"/>
      <c r="U24" s="219"/>
      <c r="V24" s="219"/>
      <c r="W24" s="219"/>
      <c r="X24" s="167" t="b">
        <f t="shared" si="0"/>
        <v>1</v>
      </c>
      <c r="Y24" s="185">
        <f t="shared" si="1"/>
        <v>0.55</v>
      </c>
      <c r="Z24" s="186" t="b">
        <f t="shared" si="2"/>
        <v>1</v>
      </c>
      <c r="AA24" s="186" t="b">
        <f t="shared" si="3"/>
        <v>1</v>
      </c>
      <c r="AB24" s="220"/>
      <c r="AC24" s="221"/>
      <c r="AD24" s="222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</row>
    <row r="25" spans="1:56" s="223" customFormat="1" ht="12.75">
      <c r="A25" s="174">
        <v>23</v>
      </c>
      <c r="B25" s="206" t="s">
        <v>127</v>
      </c>
      <c r="C25" s="206" t="s">
        <v>117</v>
      </c>
      <c r="D25" s="210" t="s">
        <v>74</v>
      </c>
      <c r="E25" s="211">
        <v>2409</v>
      </c>
      <c r="F25" s="212" t="s">
        <v>128</v>
      </c>
      <c r="G25" s="206" t="s">
        <v>87</v>
      </c>
      <c r="H25" s="213">
        <v>2.263</v>
      </c>
      <c r="I25" s="214" t="s">
        <v>120</v>
      </c>
      <c r="J25" s="216">
        <v>1659765</v>
      </c>
      <c r="K25" s="216">
        <v>912870.7500000001</v>
      </c>
      <c r="L25" s="216">
        <f t="shared" si="4"/>
        <v>746894.2499999999</v>
      </c>
      <c r="M25" s="217">
        <v>0.55</v>
      </c>
      <c r="N25" s="218"/>
      <c r="O25" s="218"/>
      <c r="P25" s="219"/>
      <c r="Q25" s="219">
        <v>912870.7500000001</v>
      </c>
      <c r="R25" s="219"/>
      <c r="S25" s="219"/>
      <c r="T25" s="219"/>
      <c r="U25" s="219"/>
      <c r="V25" s="219"/>
      <c r="W25" s="219"/>
      <c r="X25" s="167" t="b">
        <f t="shared" si="0"/>
        <v>1</v>
      </c>
      <c r="Y25" s="185">
        <f t="shared" si="1"/>
        <v>0.55</v>
      </c>
      <c r="Z25" s="186" t="b">
        <f t="shared" si="2"/>
        <v>1</v>
      </c>
      <c r="AA25" s="186" t="b">
        <f t="shared" si="3"/>
        <v>1</v>
      </c>
      <c r="AB25" s="220"/>
      <c r="AC25" s="221"/>
      <c r="AD25" s="222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</row>
    <row r="26" spans="1:56" s="223" customFormat="1" ht="12.75">
      <c r="A26" s="174">
        <v>24</v>
      </c>
      <c r="B26" s="206" t="s">
        <v>129</v>
      </c>
      <c r="C26" s="206" t="s">
        <v>117</v>
      </c>
      <c r="D26" s="210" t="s">
        <v>85</v>
      </c>
      <c r="E26" s="211">
        <v>2413</v>
      </c>
      <c r="F26" s="212" t="s">
        <v>130</v>
      </c>
      <c r="G26" s="206" t="s">
        <v>42</v>
      </c>
      <c r="H26" s="213">
        <v>2.765</v>
      </c>
      <c r="I26" s="214" t="s">
        <v>131</v>
      </c>
      <c r="J26" s="216">
        <v>7000000</v>
      </c>
      <c r="K26" s="216">
        <v>3500000</v>
      </c>
      <c r="L26" s="216">
        <f t="shared" si="4"/>
        <v>3500000</v>
      </c>
      <c r="M26" s="217">
        <v>0.5</v>
      </c>
      <c r="N26" s="218"/>
      <c r="O26" s="218"/>
      <c r="P26" s="219"/>
      <c r="Q26" s="219">
        <v>3500000</v>
      </c>
      <c r="R26" s="219"/>
      <c r="S26" s="219"/>
      <c r="T26" s="219"/>
      <c r="U26" s="219"/>
      <c r="V26" s="219"/>
      <c r="W26" s="219"/>
      <c r="X26" s="167" t="b">
        <f t="shared" si="0"/>
        <v>1</v>
      </c>
      <c r="Y26" s="185">
        <f t="shared" si="1"/>
        <v>0.5</v>
      </c>
      <c r="Z26" s="186" t="b">
        <f t="shared" si="2"/>
        <v>1</v>
      </c>
      <c r="AA26" s="186" t="b">
        <f t="shared" si="3"/>
        <v>1</v>
      </c>
      <c r="AB26" s="220"/>
      <c r="AC26" s="221"/>
      <c r="AD26" s="222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</row>
    <row r="27" spans="1:56" s="223" customFormat="1" ht="12.75">
      <c r="A27" s="174">
        <v>25</v>
      </c>
      <c r="B27" s="206" t="s">
        <v>132</v>
      </c>
      <c r="C27" s="206" t="s">
        <v>117</v>
      </c>
      <c r="D27" s="210" t="s">
        <v>90</v>
      </c>
      <c r="E27" s="211">
        <v>2405</v>
      </c>
      <c r="F27" s="212" t="s">
        <v>133</v>
      </c>
      <c r="G27" s="206" t="s">
        <v>87</v>
      </c>
      <c r="H27" s="213">
        <v>1.55</v>
      </c>
      <c r="I27" s="214" t="s">
        <v>134</v>
      </c>
      <c r="J27" s="216">
        <v>1600000</v>
      </c>
      <c r="K27" s="216">
        <v>800000</v>
      </c>
      <c r="L27" s="216">
        <f t="shared" si="4"/>
        <v>800000</v>
      </c>
      <c r="M27" s="217">
        <v>0.5</v>
      </c>
      <c r="N27" s="218"/>
      <c r="O27" s="218"/>
      <c r="P27" s="219"/>
      <c r="Q27" s="219">
        <v>800000</v>
      </c>
      <c r="R27" s="219"/>
      <c r="S27" s="219"/>
      <c r="T27" s="219"/>
      <c r="U27" s="219"/>
      <c r="V27" s="219"/>
      <c r="W27" s="219"/>
      <c r="X27" s="167" t="b">
        <f t="shared" si="0"/>
        <v>1</v>
      </c>
      <c r="Y27" s="185">
        <f t="shared" si="1"/>
        <v>0.5</v>
      </c>
      <c r="Z27" s="186" t="b">
        <f t="shared" si="2"/>
        <v>1</v>
      </c>
      <c r="AA27" s="186" t="b">
        <f t="shared" si="3"/>
        <v>1</v>
      </c>
      <c r="AB27" s="220"/>
      <c r="AC27" s="221"/>
      <c r="AD27" s="222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</row>
    <row r="28" spans="1:56" s="205" customFormat="1" ht="12.75">
      <c r="A28" s="174">
        <v>26</v>
      </c>
      <c r="B28" s="174" t="s">
        <v>135</v>
      </c>
      <c r="C28" s="174" t="s">
        <v>110</v>
      </c>
      <c r="D28" s="204" t="s">
        <v>136</v>
      </c>
      <c r="E28" s="175">
        <v>2479</v>
      </c>
      <c r="F28" s="209" t="s">
        <v>137</v>
      </c>
      <c r="G28" s="174" t="s">
        <v>42</v>
      </c>
      <c r="H28" s="200">
        <v>1.71</v>
      </c>
      <c r="I28" s="199" t="s">
        <v>138</v>
      </c>
      <c r="J28" s="179">
        <v>4788000</v>
      </c>
      <c r="K28" s="179">
        <v>2394000</v>
      </c>
      <c r="L28" s="179">
        <f t="shared" si="4"/>
        <v>2394000</v>
      </c>
      <c r="M28" s="181">
        <v>0.5</v>
      </c>
      <c r="N28" s="182"/>
      <c r="O28" s="182"/>
      <c r="P28" s="183"/>
      <c r="Q28" s="183">
        <v>25000</v>
      </c>
      <c r="R28" s="183">
        <v>2369000</v>
      </c>
      <c r="S28" s="183"/>
      <c r="T28" s="183"/>
      <c r="U28" s="183"/>
      <c r="V28" s="183"/>
      <c r="W28" s="183"/>
      <c r="X28" s="167" t="b">
        <f t="shared" si="0"/>
        <v>1</v>
      </c>
      <c r="Y28" s="185">
        <f t="shared" si="1"/>
        <v>0.5</v>
      </c>
      <c r="Z28" s="186" t="b">
        <f t="shared" si="2"/>
        <v>1</v>
      </c>
      <c r="AA28" s="186" t="b">
        <f t="shared" si="3"/>
        <v>1</v>
      </c>
      <c r="AB28" s="191"/>
      <c r="AC28" s="187"/>
      <c r="AD28" s="188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</row>
    <row r="29" spans="1:56" s="205" customFormat="1" ht="12.75">
      <c r="A29" s="174">
        <v>27</v>
      </c>
      <c r="B29" s="174" t="s">
        <v>139</v>
      </c>
      <c r="C29" s="174" t="s">
        <v>110</v>
      </c>
      <c r="D29" s="204" t="s">
        <v>140</v>
      </c>
      <c r="E29" s="175">
        <v>2411</v>
      </c>
      <c r="F29" s="209" t="s">
        <v>141</v>
      </c>
      <c r="G29" s="174" t="s">
        <v>42</v>
      </c>
      <c r="H29" s="200">
        <v>9.292</v>
      </c>
      <c r="I29" s="199" t="s">
        <v>142</v>
      </c>
      <c r="J29" s="179">
        <v>29992321</v>
      </c>
      <c r="K29" s="179">
        <v>14996160.5</v>
      </c>
      <c r="L29" s="179">
        <f t="shared" si="4"/>
        <v>14996160.5</v>
      </c>
      <c r="M29" s="181">
        <v>0.5</v>
      </c>
      <c r="N29" s="182"/>
      <c r="O29" s="182"/>
      <c r="P29" s="183"/>
      <c r="Q29" s="183">
        <v>3500000</v>
      </c>
      <c r="R29" s="183">
        <v>5000000</v>
      </c>
      <c r="S29" s="183">
        <v>6496160.5</v>
      </c>
      <c r="T29" s="183"/>
      <c r="U29" s="183"/>
      <c r="V29" s="183"/>
      <c r="W29" s="183"/>
      <c r="X29" s="167" t="b">
        <f t="shared" si="0"/>
        <v>1</v>
      </c>
      <c r="Y29" s="185">
        <f t="shared" si="1"/>
        <v>0.5</v>
      </c>
      <c r="Z29" s="186" t="b">
        <f t="shared" si="2"/>
        <v>1</v>
      </c>
      <c r="AA29" s="186" t="b">
        <f t="shared" si="3"/>
        <v>1</v>
      </c>
      <c r="AB29" s="191"/>
      <c r="AC29" s="187"/>
      <c r="AD29" s="188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</row>
    <row r="30" spans="1:56" s="223" customFormat="1" ht="12.75">
      <c r="A30" s="174">
        <v>28</v>
      </c>
      <c r="B30" s="206" t="s">
        <v>143</v>
      </c>
      <c r="C30" s="206" t="s">
        <v>117</v>
      </c>
      <c r="D30" s="210" t="s">
        <v>144</v>
      </c>
      <c r="E30" s="211">
        <v>2467</v>
      </c>
      <c r="F30" s="212" t="s">
        <v>145</v>
      </c>
      <c r="G30" s="206" t="s">
        <v>42</v>
      </c>
      <c r="H30" s="213">
        <v>0.56</v>
      </c>
      <c r="I30" s="214" t="s">
        <v>146</v>
      </c>
      <c r="J30" s="216">
        <v>4142171</v>
      </c>
      <c r="K30" s="216">
        <v>2071085.5</v>
      </c>
      <c r="L30" s="216">
        <f t="shared" si="4"/>
        <v>2071085.5</v>
      </c>
      <c r="M30" s="217">
        <v>0.5</v>
      </c>
      <c r="N30" s="218"/>
      <c r="O30" s="218"/>
      <c r="P30" s="219"/>
      <c r="Q30" s="219">
        <v>2071085.5</v>
      </c>
      <c r="R30" s="219"/>
      <c r="S30" s="219"/>
      <c r="T30" s="219"/>
      <c r="U30" s="219"/>
      <c r="V30" s="219"/>
      <c r="W30" s="219"/>
      <c r="X30" s="167" t="b">
        <f t="shared" si="0"/>
        <v>1</v>
      </c>
      <c r="Y30" s="185">
        <f t="shared" si="1"/>
        <v>0.5</v>
      </c>
      <c r="Z30" s="186" t="b">
        <f t="shared" si="2"/>
        <v>1</v>
      </c>
      <c r="AA30" s="186" t="b">
        <f t="shared" si="3"/>
        <v>1</v>
      </c>
      <c r="AB30" s="220"/>
      <c r="AC30" s="221"/>
      <c r="AD30" s="222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</row>
    <row r="31" spans="1:56" s="223" customFormat="1" ht="12.75">
      <c r="A31" s="174">
        <v>29</v>
      </c>
      <c r="B31" s="206" t="s">
        <v>147</v>
      </c>
      <c r="C31" s="206" t="s">
        <v>117</v>
      </c>
      <c r="D31" s="210" t="s">
        <v>148</v>
      </c>
      <c r="E31" s="211">
        <v>2412</v>
      </c>
      <c r="F31" s="212" t="s">
        <v>149</v>
      </c>
      <c r="G31" s="206" t="s">
        <v>42</v>
      </c>
      <c r="H31" s="213">
        <v>0.978</v>
      </c>
      <c r="I31" s="214" t="s">
        <v>150</v>
      </c>
      <c r="J31" s="216">
        <v>6067779</v>
      </c>
      <c r="K31" s="216">
        <v>3033889.5</v>
      </c>
      <c r="L31" s="216">
        <f t="shared" si="4"/>
        <v>3033889.5</v>
      </c>
      <c r="M31" s="217">
        <v>0.5</v>
      </c>
      <c r="N31" s="218"/>
      <c r="O31" s="218"/>
      <c r="P31" s="219"/>
      <c r="Q31" s="219">
        <v>3033889.5</v>
      </c>
      <c r="R31" s="219"/>
      <c r="S31" s="219"/>
      <c r="T31" s="219"/>
      <c r="U31" s="219"/>
      <c r="V31" s="219"/>
      <c r="W31" s="219"/>
      <c r="X31" s="167" t="b">
        <f t="shared" si="0"/>
        <v>1</v>
      </c>
      <c r="Y31" s="185">
        <f t="shared" si="1"/>
        <v>0.5</v>
      </c>
      <c r="Z31" s="186" t="b">
        <f t="shared" si="2"/>
        <v>1</v>
      </c>
      <c r="AA31" s="186" t="b">
        <f t="shared" si="3"/>
        <v>1</v>
      </c>
      <c r="AB31" s="220"/>
      <c r="AC31" s="221"/>
      <c r="AD31" s="222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</row>
    <row r="32" spans="1:56" s="223" customFormat="1" ht="12.75">
      <c r="A32" s="174">
        <v>30</v>
      </c>
      <c r="B32" s="206" t="s">
        <v>151</v>
      </c>
      <c r="C32" s="206" t="s">
        <v>117</v>
      </c>
      <c r="D32" s="210" t="s">
        <v>152</v>
      </c>
      <c r="E32" s="211">
        <v>2414</v>
      </c>
      <c r="F32" s="212" t="s">
        <v>153</v>
      </c>
      <c r="G32" s="206" t="s">
        <v>42</v>
      </c>
      <c r="H32" s="213">
        <v>0.335</v>
      </c>
      <c r="I32" s="214" t="s">
        <v>154</v>
      </c>
      <c r="J32" s="216">
        <v>2360000</v>
      </c>
      <c r="K32" s="216">
        <v>1180000</v>
      </c>
      <c r="L32" s="216">
        <f t="shared" si="4"/>
        <v>1180000</v>
      </c>
      <c r="M32" s="217">
        <v>0.5</v>
      </c>
      <c r="N32" s="218"/>
      <c r="O32" s="218"/>
      <c r="P32" s="219"/>
      <c r="Q32" s="219">
        <v>1180000</v>
      </c>
      <c r="R32" s="219"/>
      <c r="S32" s="219"/>
      <c r="T32" s="219"/>
      <c r="U32" s="219"/>
      <c r="V32" s="219"/>
      <c r="W32" s="219"/>
      <c r="X32" s="167" t="b">
        <f t="shared" si="0"/>
        <v>1</v>
      </c>
      <c r="Y32" s="185">
        <f t="shared" si="1"/>
        <v>0.5</v>
      </c>
      <c r="Z32" s="186" t="b">
        <f t="shared" si="2"/>
        <v>1</v>
      </c>
      <c r="AA32" s="186" t="b">
        <f t="shared" si="3"/>
        <v>1</v>
      </c>
      <c r="AB32" s="220"/>
      <c r="AC32" s="221"/>
      <c r="AD32" s="222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</row>
    <row r="33" spans="1:56" s="205" customFormat="1" ht="12.75">
      <c r="A33" s="174">
        <v>31</v>
      </c>
      <c r="B33" s="174" t="s">
        <v>155</v>
      </c>
      <c r="C33" s="174" t="s">
        <v>110</v>
      </c>
      <c r="D33" s="204" t="s">
        <v>66</v>
      </c>
      <c r="E33" s="175">
        <v>2470</v>
      </c>
      <c r="F33" s="209" t="s">
        <v>156</v>
      </c>
      <c r="G33" s="174" t="s">
        <v>157</v>
      </c>
      <c r="H33" s="200">
        <v>1.577</v>
      </c>
      <c r="I33" s="199" t="s">
        <v>158</v>
      </c>
      <c r="J33" s="179">
        <v>15472878</v>
      </c>
      <c r="K33" s="179">
        <f>INT(J33*M33)</f>
        <v>10831014</v>
      </c>
      <c r="L33" s="179">
        <f t="shared" si="4"/>
        <v>4641864</v>
      </c>
      <c r="M33" s="181">
        <v>0.7</v>
      </c>
      <c r="N33" s="182"/>
      <c r="O33" s="182"/>
      <c r="P33" s="183"/>
      <c r="Q33" s="183">
        <f>K33-R33</f>
        <v>6962794.5</v>
      </c>
      <c r="R33" s="183">
        <v>3868219.5</v>
      </c>
      <c r="S33" s="183"/>
      <c r="T33" s="183"/>
      <c r="U33" s="183"/>
      <c r="V33" s="183"/>
      <c r="W33" s="183"/>
      <c r="X33" s="167" t="b">
        <f t="shared" si="0"/>
        <v>1</v>
      </c>
      <c r="Y33" s="185">
        <f t="shared" si="1"/>
        <v>0.7</v>
      </c>
      <c r="Z33" s="186" t="b">
        <f t="shared" si="2"/>
        <v>1</v>
      </c>
      <c r="AA33" s="186" t="b">
        <f t="shared" si="3"/>
        <v>1</v>
      </c>
      <c r="AB33" s="191"/>
      <c r="AC33" s="187"/>
      <c r="AD33" s="188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</row>
    <row r="34" spans="1:56" s="228" customFormat="1" ht="12.75">
      <c r="A34" s="174">
        <v>32</v>
      </c>
      <c r="B34" s="206" t="s">
        <v>159</v>
      </c>
      <c r="C34" s="206" t="s">
        <v>117</v>
      </c>
      <c r="D34" s="210" t="s">
        <v>160</v>
      </c>
      <c r="E34" s="211">
        <v>2401</v>
      </c>
      <c r="F34" s="224" t="s">
        <v>161</v>
      </c>
      <c r="G34" s="206" t="s">
        <v>42</v>
      </c>
      <c r="H34" s="213">
        <v>0.748</v>
      </c>
      <c r="I34" s="214" t="s">
        <v>162</v>
      </c>
      <c r="J34" s="216">
        <v>2000000</v>
      </c>
      <c r="K34" s="216">
        <v>1000000</v>
      </c>
      <c r="L34" s="216">
        <f t="shared" si="4"/>
        <v>1000000</v>
      </c>
      <c r="M34" s="217">
        <v>0.5</v>
      </c>
      <c r="N34" s="218"/>
      <c r="O34" s="218"/>
      <c r="P34" s="218"/>
      <c r="Q34" s="225">
        <v>1000000</v>
      </c>
      <c r="R34" s="219"/>
      <c r="S34" s="219"/>
      <c r="T34" s="219"/>
      <c r="U34" s="219"/>
      <c r="V34" s="226"/>
      <c r="W34" s="219"/>
      <c r="X34" s="167" t="b">
        <f t="shared" si="0"/>
        <v>1</v>
      </c>
      <c r="Y34" s="185">
        <f t="shared" si="1"/>
        <v>0.5</v>
      </c>
      <c r="Z34" s="186" t="b">
        <f t="shared" si="2"/>
        <v>1</v>
      </c>
      <c r="AA34" s="186" t="b">
        <f t="shared" si="3"/>
        <v>1</v>
      </c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</row>
    <row r="35" spans="1:56" s="230" customFormat="1" ht="12.75">
      <c r="A35" s="174">
        <v>33</v>
      </c>
      <c r="B35" s="174" t="s">
        <v>163</v>
      </c>
      <c r="C35" s="174" t="s">
        <v>110</v>
      </c>
      <c r="D35" s="204" t="s">
        <v>164</v>
      </c>
      <c r="E35" s="175">
        <v>2465</v>
      </c>
      <c r="F35" s="177" t="s">
        <v>165</v>
      </c>
      <c r="G35" s="174" t="s">
        <v>42</v>
      </c>
      <c r="H35" s="200">
        <v>2.249</v>
      </c>
      <c r="I35" s="199" t="s">
        <v>166</v>
      </c>
      <c r="J35" s="179">
        <v>7753525</v>
      </c>
      <c r="K35" s="179">
        <v>3876762.5</v>
      </c>
      <c r="L35" s="179">
        <f t="shared" si="4"/>
        <v>3876762.5</v>
      </c>
      <c r="M35" s="181">
        <v>0.5</v>
      </c>
      <c r="N35" s="182"/>
      <c r="O35" s="182"/>
      <c r="P35" s="182"/>
      <c r="Q35" s="201">
        <v>1291639</v>
      </c>
      <c r="R35" s="183">
        <v>2585123.5</v>
      </c>
      <c r="S35" s="183"/>
      <c r="T35" s="183"/>
      <c r="U35" s="183"/>
      <c r="V35" s="207"/>
      <c r="W35" s="183"/>
      <c r="X35" s="167" t="b">
        <f t="shared" si="0"/>
        <v>1</v>
      </c>
      <c r="Y35" s="185">
        <f t="shared" si="1"/>
        <v>0.5</v>
      </c>
      <c r="Z35" s="186" t="b">
        <f t="shared" si="2"/>
        <v>1</v>
      </c>
      <c r="AA35" s="186" t="b">
        <f t="shared" si="3"/>
        <v>1</v>
      </c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</row>
    <row r="36" spans="1:56" s="234" customFormat="1" ht="45.75" customHeight="1">
      <c r="A36" s="174">
        <v>34</v>
      </c>
      <c r="B36" s="174" t="s">
        <v>167</v>
      </c>
      <c r="C36" s="203" t="s">
        <v>110</v>
      </c>
      <c r="D36" s="204" t="s">
        <v>168</v>
      </c>
      <c r="E36" s="175">
        <v>2416</v>
      </c>
      <c r="F36" s="177" t="s">
        <v>169</v>
      </c>
      <c r="G36" s="174" t="s">
        <v>42</v>
      </c>
      <c r="H36" s="200">
        <v>1.3829</v>
      </c>
      <c r="I36" s="202" t="s">
        <v>170</v>
      </c>
      <c r="J36" s="179">
        <v>12158244</v>
      </c>
      <c r="K36" s="179">
        <f>INT(J36*M36)</f>
        <v>9726595</v>
      </c>
      <c r="L36" s="179">
        <f t="shared" si="4"/>
        <v>2431649</v>
      </c>
      <c r="M36" s="208">
        <v>0.8</v>
      </c>
      <c r="N36" s="182"/>
      <c r="O36" s="182"/>
      <c r="P36" s="182"/>
      <c r="Q36" s="183">
        <f>K36-R36</f>
        <v>4226595</v>
      </c>
      <c r="R36" s="183">
        <v>5500000</v>
      </c>
      <c r="S36" s="183"/>
      <c r="T36" s="183"/>
      <c r="U36" s="183"/>
      <c r="V36" s="183"/>
      <c r="W36" s="183"/>
      <c r="X36" s="231" t="b">
        <f t="shared" si="0"/>
        <v>1</v>
      </c>
      <c r="Y36" s="232">
        <f t="shared" si="1"/>
        <v>0.8</v>
      </c>
      <c r="Z36" s="233" t="b">
        <f t="shared" si="2"/>
        <v>1</v>
      </c>
      <c r="AA36" s="233" t="b">
        <f t="shared" si="3"/>
        <v>1</v>
      </c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</row>
    <row r="37" spans="1:56" s="239" customFormat="1" ht="12.75">
      <c r="A37" s="174">
        <v>35</v>
      </c>
      <c r="B37" s="206" t="s">
        <v>171</v>
      </c>
      <c r="C37" s="235" t="s">
        <v>117</v>
      </c>
      <c r="D37" s="210" t="s">
        <v>152</v>
      </c>
      <c r="E37" s="211">
        <v>2414</v>
      </c>
      <c r="F37" s="224" t="s">
        <v>172</v>
      </c>
      <c r="G37" s="206" t="s">
        <v>59</v>
      </c>
      <c r="H37" s="213">
        <v>1.977</v>
      </c>
      <c r="I37" s="236" t="s">
        <v>154</v>
      </c>
      <c r="J37" s="237">
        <v>2940000</v>
      </c>
      <c r="K37" s="216">
        <v>1470000</v>
      </c>
      <c r="L37" s="216">
        <f t="shared" si="4"/>
        <v>1470000</v>
      </c>
      <c r="M37" s="238">
        <v>0.5</v>
      </c>
      <c r="N37" s="218"/>
      <c r="O37" s="218"/>
      <c r="P37" s="218"/>
      <c r="Q37" s="219">
        <v>1470000</v>
      </c>
      <c r="R37" s="219"/>
      <c r="S37" s="219"/>
      <c r="T37" s="219"/>
      <c r="U37" s="219"/>
      <c r="V37" s="219"/>
      <c r="W37" s="219"/>
      <c r="X37" s="231" t="b">
        <f t="shared" si="0"/>
        <v>1</v>
      </c>
      <c r="Y37" s="232">
        <f t="shared" si="1"/>
        <v>0.5</v>
      </c>
      <c r="Z37" s="233" t="b">
        <f t="shared" si="2"/>
        <v>1</v>
      </c>
      <c r="AA37" s="233" t="b">
        <f t="shared" si="3"/>
        <v>1</v>
      </c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</row>
    <row r="38" spans="1:56" s="239" customFormat="1" ht="12.75">
      <c r="A38" s="174">
        <v>36</v>
      </c>
      <c r="B38" s="206" t="s">
        <v>173</v>
      </c>
      <c r="C38" s="235" t="s">
        <v>117</v>
      </c>
      <c r="D38" s="210" t="s">
        <v>174</v>
      </c>
      <c r="E38" s="211">
        <v>2474</v>
      </c>
      <c r="F38" s="224" t="s">
        <v>175</v>
      </c>
      <c r="G38" s="206" t="s">
        <v>87</v>
      </c>
      <c r="H38" s="213">
        <v>1.32</v>
      </c>
      <c r="I38" s="236" t="s">
        <v>176</v>
      </c>
      <c r="J38" s="237">
        <v>1427630</v>
      </c>
      <c r="K38" s="216">
        <v>713815</v>
      </c>
      <c r="L38" s="216">
        <f t="shared" si="4"/>
        <v>713815</v>
      </c>
      <c r="M38" s="238">
        <v>0.5</v>
      </c>
      <c r="N38" s="218"/>
      <c r="O38" s="218"/>
      <c r="P38" s="218"/>
      <c r="Q38" s="219">
        <v>713815</v>
      </c>
      <c r="R38" s="219"/>
      <c r="S38" s="219"/>
      <c r="T38" s="219"/>
      <c r="U38" s="219"/>
      <c r="V38" s="219"/>
      <c r="W38" s="219"/>
      <c r="X38" s="231" t="b">
        <f t="shared" si="0"/>
        <v>1</v>
      </c>
      <c r="Y38" s="232">
        <f t="shared" si="1"/>
        <v>0.5</v>
      </c>
      <c r="Z38" s="233" t="b">
        <f t="shared" si="2"/>
        <v>1</v>
      </c>
      <c r="AA38" s="233" t="b">
        <f t="shared" si="3"/>
        <v>1</v>
      </c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</row>
    <row r="39" spans="1:74" s="171" customFormat="1" ht="19.5" customHeight="1">
      <c r="A39" s="240" t="s">
        <v>177</v>
      </c>
      <c r="B39" s="240"/>
      <c r="C39" s="240"/>
      <c r="D39" s="240"/>
      <c r="E39" s="240"/>
      <c r="F39" s="240"/>
      <c r="G39" s="240"/>
      <c r="H39" s="241">
        <f>SUM(H3:H38)</f>
        <v>89.0189</v>
      </c>
      <c r="I39" s="165" t="s">
        <v>178</v>
      </c>
      <c r="J39" s="237">
        <f>SUM(J3:J38)</f>
        <v>303311722.23999995</v>
      </c>
      <c r="K39" s="237">
        <f>SUM(K3:K38)</f>
        <v>162904800.73000002</v>
      </c>
      <c r="L39" s="237">
        <f>SUM(L3:L38)</f>
        <v>140406921.51</v>
      </c>
      <c r="M39" s="242" t="s">
        <v>178</v>
      </c>
      <c r="N39" s="237">
        <f aca="true" t="shared" si="5" ref="N39:W39">SUM(N3:N38)</f>
        <v>3687875</v>
      </c>
      <c r="O39" s="237">
        <f t="shared" si="5"/>
        <v>16356215.049999999</v>
      </c>
      <c r="P39" s="237">
        <f t="shared" si="5"/>
        <v>37922642.730000004</v>
      </c>
      <c r="Q39" s="237">
        <f t="shared" si="5"/>
        <v>75019564.32</v>
      </c>
      <c r="R39" s="237">
        <f t="shared" si="5"/>
        <v>22622343.13</v>
      </c>
      <c r="S39" s="237">
        <f t="shared" si="5"/>
        <v>7296160.5</v>
      </c>
      <c r="T39" s="237">
        <f t="shared" si="5"/>
        <v>0</v>
      </c>
      <c r="U39" s="237">
        <f t="shared" si="5"/>
        <v>0</v>
      </c>
      <c r="V39" s="237">
        <f t="shared" si="5"/>
        <v>0</v>
      </c>
      <c r="W39" s="243">
        <f t="shared" si="5"/>
        <v>0</v>
      </c>
      <c r="X39" s="167" t="b">
        <f>K39=SUM(N39:W39)</f>
        <v>1</v>
      </c>
      <c r="Y39" s="185">
        <f>ROUND(K39/J39,4)</f>
        <v>0.5371</v>
      </c>
      <c r="Z39" s="186" t="s">
        <v>178</v>
      </c>
      <c r="AA39" s="186" t="b">
        <f>J39=K39+L39</f>
        <v>1</v>
      </c>
      <c r="AB39" s="244"/>
      <c r="AC39" s="244"/>
      <c r="AD39" s="245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</row>
    <row r="40" spans="1:74" s="250" customFormat="1" ht="19.5" customHeight="1">
      <c r="A40" s="246" t="s">
        <v>12</v>
      </c>
      <c r="B40" s="246"/>
      <c r="C40" s="246"/>
      <c r="D40" s="246"/>
      <c r="E40" s="246"/>
      <c r="F40" s="246"/>
      <c r="G40" s="246"/>
      <c r="H40" s="247">
        <f>SUMIF($C$3:$C$38,"K",H3:H38)</f>
        <v>52.481</v>
      </c>
      <c r="I40" s="248" t="s">
        <v>178</v>
      </c>
      <c r="J40" s="180">
        <f>SUMIF($C$3:$C$38,"K",J3:J38)</f>
        <v>175710112.23999998</v>
      </c>
      <c r="K40" s="180">
        <f>SUMIF($C$3:$C$38,"K",K3:K38)</f>
        <v>90919064.13</v>
      </c>
      <c r="L40" s="180">
        <f>SUMIF($C$3:$C$38,"K",L3:L38)</f>
        <v>84791048.11</v>
      </c>
      <c r="M40" s="249" t="s">
        <v>178</v>
      </c>
      <c r="N40" s="180">
        <f aca="true" t="shared" si="6" ref="N40:W40">SUMIF($C$3:$C$38,"K",N3:N38)</f>
        <v>3687875</v>
      </c>
      <c r="O40" s="180">
        <f t="shared" si="6"/>
        <v>16356215.049999999</v>
      </c>
      <c r="P40" s="180">
        <f t="shared" si="6"/>
        <v>37922642.730000004</v>
      </c>
      <c r="Q40" s="180">
        <f t="shared" si="6"/>
        <v>31452331.22</v>
      </c>
      <c r="R40" s="180">
        <f t="shared" si="6"/>
        <v>1500000.13</v>
      </c>
      <c r="S40" s="180">
        <f t="shared" si="6"/>
        <v>0</v>
      </c>
      <c r="T40" s="180">
        <f t="shared" si="6"/>
        <v>0</v>
      </c>
      <c r="U40" s="180">
        <f t="shared" si="6"/>
        <v>0</v>
      </c>
      <c r="V40" s="180">
        <f t="shared" si="6"/>
        <v>0</v>
      </c>
      <c r="W40" s="180">
        <f t="shared" si="6"/>
        <v>0</v>
      </c>
      <c r="X40" s="167" t="b">
        <f>K40=SUM(N40:W40)</f>
        <v>1</v>
      </c>
      <c r="Y40" s="185">
        <f>ROUND(K40/J40,4)</f>
        <v>0.5174</v>
      </c>
      <c r="Z40" s="186" t="s">
        <v>178</v>
      </c>
      <c r="AA40" s="186" t="b">
        <f>J40=K40+L40</f>
        <v>1</v>
      </c>
      <c r="AB40" s="244"/>
      <c r="AC40" s="244"/>
      <c r="AD40" s="245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</row>
    <row r="41" spans="1:74" s="171" customFormat="1" ht="19.5" customHeight="1">
      <c r="A41" s="240" t="s">
        <v>13</v>
      </c>
      <c r="B41" s="240"/>
      <c r="C41" s="240"/>
      <c r="D41" s="240"/>
      <c r="E41" s="240"/>
      <c r="F41" s="240"/>
      <c r="G41" s="240"/>
      <c r="H41" s="241">
        <f>SUMIF($C$3:$C$38,"N",H3:H38)</f>
        <v>18.535</v>
      </c>
      <c r="I41" s="165" t="s">
        <v>178</v>
      </c>
      <c r="J41" s="237">
        <f>SUMIF($C$3:$C$38,"N",J3:J38)</f>
        <v>50430099</v>
      </c>
      <c r="K41" s="237">
        <f>SUMIF($C$3:$C$38,"N",K3:K38)</f>
        <v>26657933.1</v>
      </c>
      <c r="L41" s="237">
        <f>SUMIF($C$3:$C$38,"N",L3:L38)</f>
        <v>23772165.9</v>
      </c>
      <c r="M41" s="242" t="s">
        <v>178</v>
      </c>
      <c r="N41" s="237">
        <f aca="true" t="shared" si="7" ref="N41:W41">SUMIF($C$3:$C$38,"N",N3:N38)</f>
        <v>0</v>
      </c>
      <c r="O41" s="237">
        <f t="shared" si="7"/>
        <v>0</v>
      </c>
      <c r="P41" s="237">
        <f t="shared" si="7"/>
        <v>0</v>
      </c>
      <c r="Q41" s="237">
        <f t="shared" si="7"/>
        <v>26657933.1</v>
      </c>
      <c r="R41" s="237">
        <f t="shared" si="7"/>
        <v>0</v>
      </c>
      <c r="S41" s="237">
        <f t="shared" si="7"/>
        <v>0</v>
      </c>
      <c r="T41" s="237">
        <f t="shared" si="7"/>
        <v>0</v>
      </c>
      <c r="U41" s="237">
        <f t="shared" si="7"/>
        <v>0</v>
      </c>
      <c r="V41" s="237">
        <f t="shared" si="7"/>
        <v>0</v>
      </c>
      <c r="W41" s="237">
        <f t="shared" si="7"/>
        <v>0</v>
      </c>
      <c r="X41" s="167" t="b">
        <f>K41=SUM(N41:W41)</f>
        <v>1</v>
      </c>
      <c r="Y41" s="185">
        <f>ROUND(K41/J41,4)</f>
        <v>0.5286</v>
      </c>
      <c r="Z41" s="186" t="s">
        <v>178</v>
      </c>
      <c r="AA41" s="186" t="b">
        <f>J41=K41+L41</f>
        <v>1</v>
      </c>
      <c r="AB41" s="244"/>
      <c r="AC41" s="244"/>
      <c r="AD41" s="169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</row>
    <row r="42" spans="1:74" s="250" customFormat="1" ht="19.5" customHeight="1">
      <c r="A42" s="246" t="s">
        <v>14</v>
      </c>
      <c r="B42" s="246"/>
      <c r="C42" s="246"/>
      <c r="D42" s="246"/>
      <c r="E42" s="246"/>
      <c r="F42" s="246"/>
      <c r="G42" s="246"/>
      <c r="H42" s="247">
        <f>SUMIF($C$3:$C$38,"W",H3:H38)</f>
        <v>18.0029</v>
      </c>
      <c r="I42" s="248" t="s">
        <v>178</v>
      </c>
      <c r="J42" s="180">
        <f>SUMIF($C$3:$C$38,"W",J3:J38)</f>
        <v>77171511</v>
      </c>
      <c r="K42" s="180">
        <f>SUMIF($C$3:$C$38,"W",K3:K38)</f>
        <v>45327803.5</v>
      </c>
      <c r="L42" s="180">
        <f>SUMIF($C$3:$C$38,"W",L3:L38)</f>
        <v>31843707.5</v>
      </c>
      <c r="M42" s="249" t="s">
        <v>178</v>
      </c>
      <c r="N42" s="180">
        <f aca="true" t="shared" si="8" ref="N42:W42">SUMIF($C$3:$C$38,"W",N3:N38)</f>
        <v>0</v>
      </c>
      <c r="O42" s="180">
        <f t="shared" si="8"/>
        <v>0</v>
      </c>
      <c r="P42" s="180">
        <f t="shared" si="8"/>
        <v>0</v>
      </c>
      <c r="Q42" s="180">
        <f t="shared" si="8"/>
        <v>16909300</v>
      </c>
      <c r="R42" s="180">
        <f t="shared" si="8"/>
        <v>21122343</v>
      </c>
      <c r="S42" s="180">
        <f t="shared" si="8"/>
        <v>7296160.5</v>
      </c>
      <c r="T42" s="180">
        <f t="shared" si="8"/>
        <v>0</v>
      </c>
      <c r="U42" s="180">
        <f t="shared" si="8"/>
        <v>0</v>
      </c>
      <c r="V42" s="180">
        <f t="shared" si="8"/>
        <v>0</v>
      </c>
      <c r="W42" s="180">
        <f t="shared" si="8"/>
        <v>0</v>
      </c>
      <c r="X42" s="167" t="b">
        <f>K42=SUM(N42:W42)</f>
        <v>1</v>
      </c>
      <c r="Y42" s="185">
        <f>ROUND(K42/J42,4)</f>
        <v>0.5874</v>
      </c>
      <c r="Z42" s="186" t="s">
        <v>178</v>
      </c>
      <c r="AA42" s="186" t="b">
        <f>J42=K42+L42</f>
        <v>1</v>
      </c>
      <c r="AB42" s="244"/>
      <c r="AC42" s="244"/>
      <c r="AD42" s="251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</row>
    <row r="43" spans="1:29" ht="12.75">
      <c r="A43" s="231"/>
      <c r="B43" s="252"/>
      <c r="C43" s="231"/>
      <c r="D43" s="223"/>
      <c r="E43" s="253"/>
      <c r="F43" s="220"/>
      <c r="G43" s="231"/>
      <c r="K43" s="159"/>
      <c r="M43" s="254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AC43" s="244"/>
    </row>
    <row r="44" spans="1:27" ht="12.75">
      <c r="A44" s="255" t="s">
        <v>179</v>
      </c>
      <c r="B44" s="256"/>
      <c r="C44" s="257"/>
      <c r="D44" s="258"/>
      <c r="E44" s="257"/>
      <c r="F44" s="258"/>
      <c r="G44" s="257"/>
      <c r="J44" s="259"/>
      <c r="K44" s="260"/>
      <c r="N44" s="261"/>
      <c r="O44" s="262"/>
      <c r="P44" s="262"/>
      <c r="Q44" s="262"/>
      <c r="R44" s="261"/>
      <c r="S44" s="261"/>
      <c r="T44" s="261"/>
      <c r="U44" s="261"/>
      <c r="V44" s="261"/>
      <c r="W44" s="261"/>
      <c r="X44" s="164"/>
      <c r="AA44" s="263"/>
    </row>
    <row r="45" spans="1:24" ht="12.75">
      <c r="A45" s="264" t="s">
        <v>180</v>
      </c>
      <c r="B45" s="265"/>
      <c r="C45" s="266"/>
      <c r="D45" s="267"/>
      <c r="E45" s="266"/>
      <c r="F45" s="267"/>
      <c r="G45" s="266"/>
      <c r="J45" s="268"/>
      <c r="L45" s="269"/>
      <c r="N45" s="262"/>
      <c r="O45" s="262"/>
      <c r="P45" s="262"/>
      <c r="Q45" s="261"/>
      <c r="R45" s="261"/>
      <c r="S45" s="261"/>
      <c r="T45" s="261"/>
      <c r="U45" s="261"/>
      <c r="V45" s="261"/>
      <c r="W45" s="261"/>
      <c r="X45" s="164"/>
    </row>
    <row r="46" spans="1:10" ht="12.75">
      <c r="A46" s="255" t="s">
        <v>181</v>
      </c>
      <c r="B46" s="252"/>
      <c r="C46" s="231"/>
      <c r="D46" s="223"/>
      <c r="E46" s="253"/>
      <c r="F46" s="220"/>
      <c r="G46" s="231"/>
      <c r="J46" s="268"/>
    </row>
    <row r="47" spans="1:10" ht="12.75">
      <c r="A47" s="270"/>
      <c r="B47" s="252"/>
      <c r="C47" s="231"/>
      <c r="D47" s="223"/>
      <c r="E47" s="253"/>
      <c r="F47" s="220"/>
      <c r="G47" s="231"/>
      <c r="J47" s="268"/>
    </row>
    <row r="48" spans="1:10" ht="12.75">
      <c r="A48" s="271"/>
      <c r="B48" s="272"/>
      <c r="C48" s="273"/>
      <c r="D48" s="274"/>
      <c r="E48" s="275"/>
      <c r="F48" s="270"/>
      <c r="G48" s="273"/>
      <c r="J48" s="268"/>
    </row>
    <row r="49" ht="12.75">
      <c r="O49" s="276"/>
    </row>
    <row r="50" ht="12.75">
      <c r="J50" s="277"/>
    </row>
    <row r="51" ht="12.75">
      <c r="N51" s="278"/>
    </row>
  </sheetData>
  <sheetProtection selectLockedCells="1" selectUnlockedCells="1"/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W1"/>
    <mergeCell ref="A39:G39"/>
    <mergeCell ref="A40:G40"/>
    <mergeCell ref="A41:G41"/>
    <mergeCell ref="A42:G42"/>
  </mergeCells>
  <conditionalFormatting sqref="Z1:AA65536">
    <cfRule type="expression" priority="1" dxfId="0" stopIfTrue="1">
      <formula>NOT(ISERROR(SEARCH("fałsz",Z1)))</formula>
    </cfRule>
  </conditionalFormatting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8"/>
  <headerFooter alignWithMargins="0">
    <oddHeader>&amp;LWojewództwo 000000śląskie01+000 -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7"/>
  <sheetViews>
    <sheetView showGridLines="0" view="pageBreakPreview" zoomScale="110" zoomScaleSheetLayoutView="110" workbookViewId="0" topLeftCell="A63">
      <selection activeCell="A80" sqref="A80"/>
    </sheetView>
  </sheetViews>
  <sheetFormatPr defaultColWidth="9.140625" defaultRowHeight="15"/>
  <cols>
    <col min="1" max="1" width="6.8515625" style="279" customWidth="1"/>
    <col min="2" max="2" width="15.28125" style="153" customWidth="1"/>
    <col min="3" max="3" width="16.140625" style="153" customWidth="1"/>
    <col min="4" max="4" width="21.421875" style="280" customWidth="1"/>
    <col min="5" max="5" width="15.7109375" style="281" customWidth="1"/>
    <col min="6" max="6" width="15.7109375" style="156" customWidth="1"/>
    <col min="7" max="7" width="55.57421875" style="282" customWidth="1"/>
    <col min="8" max="8" width="11.140625" style="156" customWidth="1"/>
    <col min="9" max="9" width="12.57421875" style="156" customWidth="1"/>
    <col min="10" max="10" width="18.28125" style="163" customWidth="1"/>
    <col min="11" max="11" width="17.00390625" style="283" customWidth="1"/>
    <col min="12" max="12" width="15.7109375" style="283" customWidth="1"/>
    <col min="13" max="13" width="18.57421875" style="283" customWidth="1"/>
    <col min="14" max="14" width="12.140625" style="284" customWidth="1"/>
    <col min="15" max="16" width="15.7109375" style="282" customWidth="1"/>
    <col min="17" max="17" width="15.7109375" style="285" customWidth="1"/>
    <col min="18" max="23" width="15.7109375" style="282" customWidth="1"/>
    <col min="24" max="24" width="15.7109375" style="286" customWidth="1"/>
    <col min="25" max="27" width="15.7109375" style="287" customWidth="1"/>
    <col min="28" max="28" width="15.7109375" style="288" customWidth="1"/>
    <col min="29" max="29" width="11.7109375" style="157" customWidth="1"/>
    <col min="30" max="30" width="15.140625" style="157" customWidth="1"/>
    <col min="31" max="31" width="18.00390625" style="157" customWidth="1"/>
    <col min="32" max="32" width="21.140625" style="157" customWidth="1"/>
    <col min="33" max="33" width="12.28125" style="157" customWidth="1"/>
    <col min="34" max="34" width="12.7109375" style="157" customWidth="1"/>
    <col min="35" max="35" width="13.28125" style="157" customWidth="1"/>
    <col min="36" max="113" width="9.140625" style="157" customWidth="1"/>
    <col min="114" max="16384" width="9.140625" style="282" customWidth="1"/>
  </cols>
  <sheetData>
    <row r="1" spans="1:113" s="293" customFormat="1" ht="19.5" customHeight="1">
      <c r="A1" s="165" t="s">
        <v>21</v>
      </c>
      <c r="B1" s="165" t="s">
        <v>22</v>
      </c>
      <c r="C1" s="166" t="s">
        <v>23</v>
      </c>
      <c r="D1" s="165" t="s">
        <v>24</v>
      </c>
      <c r="E1" s="165" t="s">
        <v>25</v>
      </c>
      <c r="F1" s="165" t="s">
        <v>182</v>
      </c>
      <c r="G1" s="165" t="s">
        <v>26</v>
      </c>
      <c r="H1" s="165" t="s">
        <v>27</v>
      </c>
      <c r="I1" s="165" t="s">
        <v>28</v>
      </c>
      <c r="J1" s="165" t="s">
        <v>29</v>
      </c>
      <c r="K1" s="289" t="s">
        <v>30</v>
      </c>
      <c r="L1" s="289" t="s">
        <v>183</v>
      </c>
      <c r="M1" s="289" t="s">
        <v>32</v>
      </c>
      <c r="N1" s="165" t="s">
        <v>33</v>
      </c>
      <c r="O1" s="165" t="s">
        <v>10</v>
      </c>
      <c r="P1" s="165"/>
      <c r="Q1" s="165"/>
      <c r="R1" s="165"/>
      <c r="S1" s="165"/>
      <c r="T1" s="165"/>
      <c r="U1" s="165"/>
      <c r="V1" s="165"/>
      <c r="W1" s="165"/>
      <c r="X1" s="165"/>
      <c r="Y1" s="290"/>
      <c r="Z1" s="291"/>
      <c r="AA1" s="291"/>
      <c r="AB1" s="292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</row>
    <row r="2" spans="1:113" s="294" customFormat="1" ht="28.5" customHeight="1">
      <c r="A2" s="165"/>
      <c r="B2" s="165"/>
      <c r="C2" s="166"/>
      <c r="D2" s="165"/>
      <c r="E2" s="165"/>
      <c r="F2" s="165"/>
      <c r="G2" s="165"/>
      <c r="H2" s="165"/>
      <c r="I2" s="165"/>
      <c r="J2" s="165"/>
      <c r="K2" s="289"/>
      <c r="L2" s="289"/>
      <c r="M2" s="289"/>
      <c r="N2" s="165"/>
      <c r="O2" s="165">
        <v>2019</v>
      </c>
      <c r="P2" s="165">
        <v>2020</v>
      </c>
      <c r="Q2" s="165">
        <v>2021</v>
      </c>
      <c r="R2" s="165">
        <v>2022</v>
      </c>
      <c r="S2" s="165">
        <v>2023</v>
      </c>
      <c r="T2" s="165">
        <v>2024</v>
      </c>
      <c r="U2" s="165">
        <v>2025</v>
      </c>
      <c r="V2" s="165">
        <v>2026</v>
      </c>
      <c r="W2" s="165">
        <v>2027</v>
      </c>
      <c r="X2" s="165">
        <v>2028</v>
      </c>
      <c r="Y2" s="290" t="s">
        <v>34</v>
      </c>
      <c r="Z2" s="291" t="s">
        <v>35</v>
      </c>
      <c r="AA2" s="291" t="s">
        <v>36</v>
      </c>
      <c r="AB2" s="291" t="s">
        <v>37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</row>
    <row r="3" spans="1:113" s="299" customFormat="1" ht="12.75">
      <c r="A3" s="175">
        <v>1</v>
      </c>
      <c r="B3" s="175" t="s">
        <v>184</v>
      </c>
      <c r="C3" s="203" t="s">
        <v>39</v>
      </c>
      <c r="D3" s="204" t="s">
        <v>185</v>
      </c>
      <c r="E3" s="295">
        <v>2406042</v>
      </c>
      <c r="F3" s="175" t="s">
        <v>186</v>
      </c>
      <c r="G3" s="204" t="s">
        <v>187</v>
      </c>
      <c r="H3" s="178" t="s">
        <v>59</v>
      </c>
      <c r="I3" s="175">
        <v>5.335</v>
      </c>
      <c r="J3" s="174" t="s">
        <v>188</v>
      </c>
      <c r="K3" s="180">
        <v>9676011.49</v>
      </c>
      <c r="L3" s="180">
        <v>6773208.04</v>
      </c>
      <c r="M3" s="180">
        <v>2902803.45</v>
      </c>
      <c r="N3" s="181">
        <v>0.7</v>
      </c>
      <c r="O3" s="296">
        <v>173907.3</v>
      </c>
      <c r="P3" s="296">
        <v>2001731.9</v>
      </c>
      <c r="Q3" s="296">
        <v>2579091.9</v>
      </c>
      <c r="R3" s="296">
        <v>2018476.94</v>
      </c>
      <c r="S3" s="296"/>
      <c r="T3" s="296"/>
      <c r="U3" s="296"/>
      <c r="V3" s="296"/>
      <c r="W3" s="296"/>
      <c r="X3" s="297"/>
      <c r="Y3" s="290" t="b">
        <f aca="true" t="shared" si="0" ref="Y3:Y17">L3=SUM(O3:X3)</f>
        <v>1</v>
      </c>
      <c r="Z3" s="232">
        <f aca="true" t="shared" si="1" ref="Z3:Z17">ROUND(L3/K3,4)</f>
        <v>0.7</v>
      </c>
      <c r="AA3" s="298" t="b">
        <f aca="true" t="shared" si="2" ref="AA3:AA17">Z3=N3</f>
        <v>1</v>
      </c>
      <c r="AB3" s="298" t="b">
        <f aca="true" t="shared" si="3" ref="AB3:AB17">K3=L3+M3</f>
        <v>1</v>
      </c>
      <c r="AC3" s="189"/>
      <c r="AD3" s="189"/>
      <c r="AE3" s="189"/>
      <c r="AF3" s="190"/>
      <c r="AG3" s="190"/>
      <c r="AH3" s="189"/>
      <c r="AI3" s="189"/>
      <c r="AJ3" s="189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</row>
    <row r="4" spans="1:113" s="299" customFormat="1" ht="12.75">
      <c r="A4" s="175">
        <v>2</v>
      </c>
      <c r="B4" s="175" t="s">
        <v>189</v>
      </c>
      <c r="C4" s="203" t="s">
        <v>39</v>
      </c>
      <c r="D4" s="204" t="s">
        <v>190</v>
      </c>
      <c r="E4" s="295">
        <v>2415052</v>
      </c>
      <c r="F4" s="175" t="s">
        <v>191</v>
      </c>
      <c r="G4" s="204" t="s">
        <v>192</v>
      </c>
      <c r="H4" s="178" t="s">
        <v>42</v>
      </c>
      <c r="I4" s="175">
        <v>1.758</v>
      </c>
      <c r="J4" s="174" t="s">
        <v>193</v>
      </c>
      <c r="K4" s="180">
        <v>5760400</v>
      </c>
      <c r="L4" s="180">
        <v>4021779.3</v>
      </c>
      <c r="M4" s="180">
        <v>1738620.7000000002</v>
      </c>
      <c r="N4" s="181">
        <v>0.7</v>
      </c>
      <c r="O4" s="296">
        <v>14000</v>
      </c>
      <c r="P4" s="296">
        <v>686000</v>
      </c>
      <c r="Q4" s="296">
        <v>3321779.3</v>
      </c>
      <c r="R4" s="296">
        <v>0</v>
      </c>
      <c r="S4" s="296"/>
      <c r="T4" s="296"/>
      <c r="U4" s="296"/>
      <c r="V4" s="296"/>
      <c r="W4" s="296"/>
      <c r="X4" s="297"/>
      <c r="Y4" s="290" t="b">
        <f t="shared" si="0"/>
        <v>1</v>
      </c>
      <c r="Z4" s="232">
        <f t="shared" si="1"/>
        <v>0.6982</v>
      </c>
      <c r="AA4" s="298" t="b">
        <f t="shared" si="2"/>
        <v>0</v>
      </c>
      <c r="AB4" s="298" t="b">
        <f t="shared" si="3"/>
        <v>1</v>
      </c>
      <c r="AC4" s="189"/>
      <c r="AD4" s="189"/>
      <c r="AE4" s="189"/>
      <c r="AF4" s="190"/>
      <c r="AG4" s="190"/>
      <c r="AH4" s="189"/>
      <c r="AI4" s="189"/>
      <c r="AJ4" s="189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</row>
    <row r="5" spans="1:113" s="299" customFormat="1" ht="12.75">
      <c r="A5" s="175">
        <v>3</v>
      </c>
      <c r="B5" s="175" t="s">
        <v>194</v>
      </c>
      <c r="C5" s="203" t="s">
        <v>39</v>
      </c>
      <c r="D5" s="204" t="s">
        <v>195</v>
      </c>
      <c r="E5" s="295">
        <v>2402082</v>
      </c>
      <c r="F5" s="175" t="s">
        <v>196</v>
      </c>
      <c r="G5" s="204" t="s">
        <v>197</v>
      </c>
      <c r="H5" s="178" t="s">
        <v>42</v>
      </c>
      <c r="I5" s="175">
        <v>0.422</v>
      </c>
      <c r="J5" s="174" t="s">
        <v>198</v>
      </c>
      <c r="K5" s="180">
        <v>1955714.45</v>
      </c>
      <c r="L5" s="180">
        <v>977857.22</v>
      </c>
      <c r="M5" s="180">
        <v>977857.23</v>
      </c>
      <c r="N5" s="181">
        <v>0.5</v>
      </c>
      <c r="O5" s="296">
        <v>28057.5</v>
      </c>
      <c r="P5" s="296">
        <v>50000</v>
      </c>
      <c r="Q5" s="296">
        <v>541038.5</v>
      </c>
      <c r="R5" s="296">
        <v>358761.22</v>
      </c>
      <c r="S5" s="296"/>
      <c r="T5" s="296"/>
      <c r="U5" s="296"/>
      <c r="V5" s="296"/>
      <c r="W5" s="296"/>
      <c r="X5" s="297"/>
      <c r="Y5" s="290" t="b">
        <f t="shared" si="0"/>
        <v>1</v>
      </c>
      <c r="Z5" s="232">
        <f t="shared" si="1"/>
        <v>0.5</v>
      </c>
      <c r="AA5" s="298" t="b">
        <f t="shared" si="2"/>
        <v>1</v>
      </c>
      <c r="AB5" s="298" t="b">
        <f t="shared" si="3"/>
        <v>1</v>
      </c>
      <c r="AC5" s="189"/>
      <c r="AD5" s="189"/>
      <c r="AE5" s="189"/>
      <c r="AF5" s="190"/>
      <c r="AG5" s="190"/>
      <c r="AH5" s="189"/>
      <c r="AI5" s="189"/>
      <c r="AJ5" s="189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</row>
    <row r="6" spans="1:113" s="303" customFormat="1" ht="12.75">
      <c r="A6" s="175">
        <v>4</v>
      </c>
      <c r="B6" s="175" t="s">
        <v>199</v>
      </c>
      <c r="C6" s="203" t="s">
        <v>39</v>
      </c>
      <c r="D6" s="300" t="s">
        <v>200</v>
      </c>
      <c r="E6" s="301">
        <v>2415011</v>
      </c>
      <c r="F6" s="174" t="s">
        <v>191</v>
      </c>
      <c r="G6" s="302" t="s">
        <v>201</v>
      </c>
      <c r="H6" s="174" t="s">
        <v>87</v>
      </c>
      <c r="I6" s="198">
        <v>1.332</v>
      </c>
      <c r="J6" s="199" t="s">
        <v>202</v>
      </c>
      <c r="K6" s="297">
        <v>1312088.74</v>
      </c>
      <c r="L6" s="179">
        <v>852857.68</v>
      </c>
      <c r="M6" s="180">
        <v>459231.06</v>
      </c>
      <c r="N6" s="181">
        <f>L6/K6</f>
        <v>0.6499999992378565</v>
      </c>
      <c r="O6" s="182">
        <v>0</v>
      </c>
      <c r="P6" s="182">
        <v>297556.31</v>
      </c>
      <c r="Q6" s="182">
        <v>278915.17</v>
      </c>
      <c r="R6" s="182">
        <v>276386.2</v>
      </c>
      <c r="S6" s="296"/>
      <c r="T6" s="296"/>
      <c r="U6" s="296"/>
      <c r="V6" s="296"/>
      <c r="W6" s="296"/>
      <c r="X6" s="297"/>
      <c r="Y6" s="290" t="b">
        <f t="shared" si="0"/>
        <v>1</v>
      </c>
      <c r="Z6" s="232">
        <f t="shared" si="1"/>
        <v>0.65</v>
      </c>
      <c r="AA6" s="298" t="b">
        <f t="shared" si="2"/>
        <v>0</v>
      </c>
      <c r="AB6" s="298" t="b">
        <f t="shared" si="3"/>
        <v>1</v>
      </c>
      <c r="AC6" s="189"/>
      <c r="AD6" s="189"/>
      <c r="AE6" s="189"/>
      <c r="AF6" s="190"/>
      <c r="AG6" s="190"/>
      <c r="AH6" s="189"/>
      <c r="AI6" s="189"/>
      <c r="AJ6" s="189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</row>
    <row r="7" spans="1:113" s="299" customFormat="1" ht="12.75">
      <c r="A7" s="175">
        <v>5</v>
      </c>
      <c r="B7" s="175" t="s">
        <v>203</v>
      </c>
      <c r="C7" s="304" t="s">
        <v>39</v>
      </c>
      <c r="D7" s="204" t="s">
        <v>204</v>
      </c>
      <c r="E7" s="178">
        <v>2408021</v>
      </c>
      <c r="F7" s="174" t="s">
        <v>205</v>
      </c>
      <c r="G7" s="177" t="s">
        <v>206</v>
      </c>
      <c r="H7" s="174" t="s">
        <v>42</v>
      </c>
      <c r="I7" s="198">
        <v>0.099</v>
      </c>
      <c r="J7" s="199" t="s">
        <v>207</v>
      </c>
      <c r="K7" s="297">
        <v>4285545.550000001</v>
      </c>
      <c r="L7" s="179">
        <v>1353953</v>
      </c>
      <c r="M7" s="180">
        <v>2931592.5500000007</v>
      </c>
      <c r="N7" s="181">
        <v>0.5</v>
      </c>
      <c r="O7" s="182">
        <v>0</v>
      </c>
      <c r="P7" s="182">
        <v>150000</v>
      </c>
      <c r="Q7" s="296">
        <v>600000</v>
      </c>
      <c r="R7" s="296">
        <v>603953</v>
      </c>
      <c r="S7" s="305"/>
      <c r="T7" s="305"/>
      <c r="U7" s="305"/>
      <c r="V7" s="305"/>
      <c r="W7" s="296"/>
      <c r="X7" s="306"/>
      <c r="Y7" s="290" t="b">
        <f t="shared" si="0"/>
        <v>1</v>
      </c>
      <c r="Z7" s="232">
        <f t="shared" si="1"/>
        <v>0.3159</v>
      </c>
      <c r="AA7" s="298" t="b">
        <f t="shared" si="2"/>
        <v>0</v>
      </c>
      <c r="AB7" s="298" t="b">
        <f t="shared" si="3"/>
        <v>1</v>
      </c>
      <c r="AC7" s="189"/>
      <c r="AD7" s="189"/>
      <c r="AE7" s="189"/>
      <c r="AF7" s="190"/>
      <c r="AG7" s="190"/>
      <c r="AH7" s="189"/>
      <c r="AI7" s="189"/>
      <c r="AJ7" s="189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</row>
    <row r="8" spans="1:113" s="299" customFormat="1" ht="12.75">
      <c r="A8" s="175">
        <v>6</v>
      </c>
      <c r="B8" s="175" t="s">
        <v>208</v>
      </c>
      <c r="C8" s="304" t="s">
        <v>39</v>
      </c>
      <c r="D8" s="204" t="s">
        <v>209</v>
      </c>
      <c r="E8" s="178">
        <v>2409053</v>
      </c>
      <c r="F8" s="174" t="s">
        <v>210</v>
      </c>
      <c r="G8" s="177" t="s">
        <v>211</v>
      </c>
      <c r="H8" s="174" t="s">
        <v>42</v>
      </c>
      <c r="I8" s="198">
        <v>2.59</v>
      </c>
      <c r="J8" s="199" t="s">
        <v>212</v>
      </c>
      <c r="K8" s="297">
        <v>5202207.51</v>
      </c>
      <c r="L8" s="179">
        <v>2601103.75</v>
      </c>
      <c r="M8" s="180">
        <v>2601103.76</v>
      </c>
      <c r="N8" s="181">
        <v>0.5</v>
      </c>
      <c r="O8" s="182">
        <v>0</v>
      </c>
      <c r="P8" s="182">
        <v>1770000</v>
      </c>
      <c r="Q8" s="296">
        <v>831103.75</v>
      </c>
      <c r="R8" s="296">
        <v>0</v>
      </c>
      <c r="S8" s="305"/>
      <c r="T8" s="305"/>
      <c r="U8" s="305"/>
      <c r="V8" s="305"/>
      <c r="W8" s="296"/>
      <c r="X8" s="306"/>
      <c r="Y8" s="290" t="b">
        <f t="shared" si="0"/>
        <v>1</v>
      </c>
      <c r="Z8" s="232">
        <f t="shared" si="1"/>
        <v>0.5</v>
      </c>
      <c r="AA8" s="298" t="b">
        <f t="shared" si="2"/>
        <v>1</v>
      </c>
      <c r="AB8" s="298" t="b">
        <f t="shared" si="3"/>
        <v>1</v>
      </c>
      <c r="AC8" s="189"/>
      <c r="AD8" s="189"/>
      <c r="AE8" s="189"/>
      <c r="AF8" s="190"/>
      <c r="AG8" s="190"/>
      <c r="AH8" s="189"/>
      <c r="AI8" s="189"/>
      <c r="AJ8" s="189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</row>
    <row r="9" spans="1:113" s="303" customFormat="1" ht="12.75">
      <c r="A9" s="175">
        <v>7</v>
      </c>
      <c r="B9" s="175" t="s">
        <v>213</v>
      </c>
      <c r="C9" s="304" t="s">
        <v>39</v>
      </c>
      <c r="D9" s="204" t="s">
        <v>214</v>
      </c>
      <c r="E9" s="178" t="s">
        <v>215</v>
      </c>
      <c r="F9" s="174" t="s">
        <v>216</v>
      </c>
      <c r="G9" s="177" t="s">
        <v>217</v>
      </c>
      <c r="H9" s="174" t="s">
        <v>59</v>
      </c>
      <c r="I9" s="198">
        <v>1.7</v>
      </c>
      <c r="J9" s="199" t="s">
        <v>218</v>
      </c>
      <c r="K9" s="297">
        <v>7186326.85</v>
      </c>
      <c r="L9" s="179">
        <v>3952479.76</v>
      </c>
      <c r="M9" s="180">
        <v>3233847.09</v>
      </c>
      <c r="N9" s="181">
        <v>0.55</v>
      </c>
      <c r="O9" s="182">
        <v>0</v>
      </c>
      <c r="P9" s="182">
        <v>0</v>
      </c>
      <c r="Q9" s="296">
        <v>1000000</v>
      </c>
      <c r="R9" s="296">
        <v>1500000</v>
      </c>
      <c r="S9" s="296">
        <v>1452479.76</v>
      </c>
      <c r="T9" s="296"/>
      <c r="U9" s="296"/>
      <c r="V9" s="296"/>
      <c r="W9" s="296"/>
      <c r="X9" s="297"/>
      <c r="Y9" s="290" t="b">
        <f t="shared" si="0"/>
        <v>1</v>
      </c>
      <c r="Z9" s="232">
        <f t="shared" si="1"/>
        <v>0.55</v>
      </c>
      <c r="AA9" s="298" t="b">
        <f t="shared" si="2"/>
        <v>1</v>
      </c>
      <c r="AB9" s="298" t="b">
        <f t="shared" si="3"/>
        <v>1</v>
      </c>
      <c r="AC9" s="189"/>
      <c r="AD9" s="189"/>
      <c r="AE9" s="189"/>
      <c r="AF9" s="190"/>
      <c r="AG9" s="190"/>
      <c r="AH9" s="189"/>
      <c r="AI9" s="189"/>
      <c r="AJ9" s="189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</row>
    <row r="10" spans="1:113" s="205" customFormat="1" ht="12.75">
      <c r="A10" s="175">
        <v>8</v>
      </c>
      <c r="B10" s="175" t="s">
        <v>219</v>
      </c>
      <c r="C10" s="304" t="s">
        <v>39</v>
      </c>
      <c r="D10" s="307" t="s">
        <v>220</v>
      </c>
      <c r="E10" s="308" t="s">
        <v>221</v>
      </c>
      <c r="F10" s="309" t="s">
        <v>222</v>
      </c>
      <c r="G10" s="310" t="s">
        <v>223</v>
      </c>
      <c r="H10" s="174" t="s">
        <v>59</v>
      </c>
      <c r="I10" s="198">
        <v>4.331</v>
      </c>
      <c r="J10" s="199" t="s">
        <v>224</v>
      </c>
      <c r="K10" s="297">
        <v>4385472.76</v>
      </c>
      <c r="L10" s="179">
        <v>2412010.01</v>
      </c>
      <c r="M10" s="180">
        <f aca="true" t="shared" si="4" ref="M10:M15">K10-L10</f>
        <v>1973462.75</v>
      </c>
      <c r="N10" s="181">
        <v>0.55</v>
      </c>
      <c r="O10" s="182"/>
      <c r="P10" s="182"/>
      <c r="Q10" s="296">
        <v>44000</v>
      </c>
      <c r="R10" s="296">
        <v>2368010.01</v>
      </c>
      <c r="S10" s="296"/>
      <c r="T10" s="296"/>
      <c r="U10" s="296"/>
      <c r="V10" s="296"/>
      <c r="W10" s="296"/>
      <c r="X10" s="296"/>
      <c r="Y10" s="290" t="b">
        <f t="shared" si="0"/>
        <v>1</v>
      </c>
      <c r="Z10" s="232">
        <f t="shared" si="1"/>
        <v>0.55</v>
      </c>
      <c r="AA10" s="298" t="b">
        <f t="shared" si="2"/>
        <v>1</v>
      </c>
      <c r="AB10" s="298" t="b">
        <f t="shared" si="3"/>
        <v>1</v>
      </c>
      <c r="AC10" s="189"/>
      <c r="AD10" s="189"/>
      <c r="AE10" s="189"/>
      <c r="AF10" s="190"/>
      <c r="AG10" s="190"/>
      <c r="AH10" s="189"/>
      <c r="AI10" s="189"/>
      <c r="AJ10" s="189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</row>
    <row r="11" spans="1:113" s="303" customFormat="1" ht="12.75">
      <c r="A11" s="175">
        <v>9</v>
      </c>
      <c r="B11" s="175" t="s">
        <v>225</v>
      </c>
      <c r="C11" s="304" t="s">
        <v>39</v>
      </c>
      <c r="D11" s="204" t="s">
        <v>226</v>
      </c>
      <c r="E11" s="178" t="s">
        <v>227</v>
      </c>
      <c r="F11" s="174" t="s">
        <v>228</v>
      </c>
      <c r="G11" s="177" t="s">
        <v>229</v>
      </c>
      <c r="H11" s="174" t="s">
        <v>42</v>
      </c>
      <c r="I11" s="198">
        <v>1.3</v>
      </c>
      <c r="J11" s="199" t="s">
        <v>230</v>
      </c>
      <c r="K11" s="297">
        <v>3765765.78</v>
      </c>
      <c r="L11" s="179">
        <v>2444800</v>
      </c>
      <c r="M11" s="180">
        <f>K11-L11</f>
        <v>1320965.7799999998</v>
      </c>
      <c r="N11" s="181">
        <v>0.8</v>
      </c>
      <c r="O11" s="182"/>
      <c r="P11" s="182"/>
      <c r="Q11" s="296">
        <v>608000</v>
      </c>
      <c r="R11" s="296">
        <v>1836800</v>
      </c>
      <c r="S11" s="296"/>
      <c r="T11" s="296"/>
      <c r="U11" s="296"/>
      <c r="V11" s="296"/>
      <c r="W11" s="296"/>
      <c r="X11" s="297"/>
      <c r="Y11" s="290" t="b">
        <f t="shared" si="0"/>
        <v>1</v>
      </c>
      <c r="Z11" s="232">
        <f t="shared" si="1"/>
        <v>0.6492</v>
      </c>
      <c r="AA11" s="298" t="b">
        <f t="shared" si="2"/>
        <v>0</v>
      </c>
      <c r="AB11" s="298" t="b">
        <f t="shared" si="3"/>
        <v>1</v>
      </c>
      <c r="AC11" s="189"/>
      <c r="AD11" s="189"/>
      <c r="AE11" s="189"/>
      <c r="AF11" s="190"/>
      <c r="AG11" s="190"/>
      <c r="AH11" s="189"/>
      <c r="AI11" s="189"/>
      <c r="AJ11" s="189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</row>
    <row r="12" spans="1:113" s="303" customFormat="1" ht="12.75">
      <c r="A12" s="175">
        <v>10</v>
      </c>
      <c r="B12" s="175" t="s">
        <v>231</v>
      </c>
      <c r="C12" s="304" t="s">
        <v>39</v>
      </c>
      <c r="D12" s="204" t="s">
        <v>232</v>
      </c>
      <c r="E12" s="178" t="s">
        <v>233</v>
      </c>
      <c r="F12" s="174" t="s">
        <v>234</v>
      </c>
      <c r="G12" s="177" t="s">
        <v>235</v>
      </c>
      <c r="H12" s="174" t="s">
        <v>42</v>
      </c>
      <c r="I12" s="198">
        <v>0.863</v>
      </c>
      <c r="J12" s="199" t="s">
        <v>236</v>
      </c>
      <c r="K12" s="297">
        <v>3195664.37</v>
      </c>
      <c r="L12" s="179">
        <v>1757615.4</v>
      </c>
      <c r="M12" s="180">
        <f t="shared" si="4"/>
        <v>1438048.9700000002</v>
      </c>
      <c r="N12" s="181">
        <v>0.55</v>
      </c>
      <c r="O12" s="182"/>
      <c r="P12" s="182"/>
      <c r="Q12" s="296">
        <v>630983.93</v>
      </c>
      <c r="R12" s="296">
        <v>1126631.47</v>
      </c>
      <c r="S12" s="296"/>
      <c r="T12" s="296"/>
      <c r="U12" s="296"/>
      <c r="V12" s="296"/>
      <c r="W12" s="296"/>
      <c r="X12" s="297"/>
      <c r="Y12" s="290" t="b">
        <f t="shared" si="0"/>
        <v>1</v>
      </c>
      <c r="Z12" s="232">
        <f t="shared" si="1"/>
        <v>0.55</v>
      </c>
      <c r="AA12" s="298" t="b">
        <f t="shared" si="2"/>
        <v>1</v>
      </c>
      <c r="AB12" s="298" t="b">
        <f t="shared" si="3"/>
        <v>1</v>
      </c>
      <c r="AC12" s="189"/>
      <c r="AD12" s="189"/>
      <c r="AE12" s="189"/>
      <c r="AF12" s="190"/>
      <c r="AG12" s="190"/>
      <c r="AH12" s="189"/>
      <c r="AI12" s="189"/>
      <c r="AJ12" s="189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</row>
    <row r="13" spans="1:113" s="303" customFormat="1" ht="12.75">
      <c r="A13" s="175">
        <v>11</v>
      </c>
      <c r="B13" s="175" t="s">
        <v>237</v>
      </c>
      <c r="C13" s="304" t="s">
        <v>39</v>
      </c>
      <c r="D13" s="204" t="s">
        <v>238</v>
      </c>
      <c r="E13" s="311" t="s">
        <v>239</v>
      </c>
      <c r="F13" s="175" t="s">
        <v>240</v>
      </c>
      <c r="G13" s="177" t="s">
        <v>241</v>
      </c>
      <c r="H13" s="174" t="s">
        <v>59</v>
      </c>
      <c r="I13" s="198">
        <v>0.493</v>
      </c>
      <c r="J13" s="199" t="s">
        <v>242</v>
      </c>
      <c r="K13" s="297">
        <v>3910205.93</v>
      </c>
      <c r="L13" s="179">
        <v>1394465.5</v>
      </c>
      <c r="M13" s="180">
        <v>2515740.43</v>
      </c>
      <c r="N13" s="181">
        <v>0.5</v>
      </c>
      <c r="O13" s="182"/>
      <c r="P13" s="182"/>
      <c r="Q13" s="296">
        <v>809929</v>
      </c>
      <c r="R13" s="296">
        <v>584536.5</v>
      </c>
      <c r="S13" s="296"/>
      <c r="T13" s="296"/>
      <c r="U13" s="296"/>
      <c r="V13" s="296"/>
      <c r="W13" s="296"/>
      <c r="X13" s="297"/>
      <c r="Y13" s="290" t="b">
        <f t="shared" si="0"/>
        <v>1</v>
      </c>
      <c r="Z13" s="232">
        <f t="shared" si="1"/>
        <v>0.3566</v>
      </c>
      <c r="AA13" s="298" t="b">
        <f t="shared" si="2"/>
        <v>0</v>
      </c>
      <c r="AB13" s="298" t="b">
        <f t="shared" si="3"/>
        <v>1</v>
      </c>
      <c r="AC13" s="189"/>
      <c r="AD13" s="189"/>
      <c r="AE13" s="189"/>
      <c r="AF13" s="190"/>
      <c r="AG13" s="190"/>
      <c r="AH13" s="189"/>
      <c r="AI13" s="189"/>
      <c r="AJ13" s="189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</row>
    <row r="14" spans="1:113" s="303" customFormat="1" ht="12.75">
      <c r="A14" s="175">
        <v>12</v>
      </c>
      <c r="B14" s="175" t="s">
        <v>243</v>
      </c>
      <c r="C14" s="304" t="s">
        <v>39</v>
      </c>
      <c r="D14" s="204" t="s">
        <v>190</v>
      </c>
      <c r="E14" s="178" t="s">
        <v>244</v>
      </c>
      <c r="F14" s="174" t="s">
        <v>191</v>
      </c>
      <c r="G14" s="177" t="s">
        <v>245</v>
      </c>
      <c r="H14" s="174" t="s">
        <v>59</v>
      </c>
      <c r="I14" s="198">
        <v>0.594</v>
      </c>
      <c r="J14" s="199" t="s">
        <v>246</v>
      </c>
      <c r="K14" s="297">
        <v>1060500</v>
      </c>
      <c r="L14" s="179">
        <v>583275</v>
      </c>
      <c r="M14" s="180">
        <f t="shared" si="4"/>
        <v>477225</v>
      </c>
      <c r="N14" s="181">
        <v>0.55</v>
      </c>
      <c r="O14" s="182"/>
      <c r="P14" s="182"/>
      <c r="Q14" s="296">
        <v>38500</v>
      </c>
      <c r="R14" s="296">
        <v>269500</v>
      </c>
      <c r="S14" s="296">
        <v>275275</v>
      </c>
      <c r="T14" s="296"/>
      <c r="U14" s="296"/>
      <c r="V14" s="296"/>
      <c r="W14" s="296"/>
      <c r="X14" s="297"/>
      <c r="Y14" s="290" t="b">
        <f t="shared" si="0"/>
        <v>1</v>
      </c>
      <c r="Z14" s="232">
        <f t="shared" si="1"/>
        <v>0.55</v>
      </c>
      <c r="AA14" s="298" t="b">
        <f t="shared" si="2"/>
        <v>1</v>
      </c>
      <c r="AB14" s="298" t="b">
        <f t="shared" si="3"/>
        <v>1</v>
      </c>
      <c r="AC14" s="189"/>
      <c r="AD14" s="189"/>
      <c r="AE14" s="189"/>
      <c r="AF14" s="190"/>
      <c r="AG14" s="190"/>
      <c r="AH14" s="189"/>
      <c r="AI14" s="189"/>
      <c r="AJ14" s="189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</row>
    <row r="15" spans="1:113" s="303" customFormat="1" ht="12.75">
      <c r="A15" s="175">
        <v>13</v>
      </c>
      <c r="B15" s="175" t="s">
        <v>247</v>
      </c>
      <c r="C15" s="304" t="s">
        <v>39</v>
      </c>
      <c r="D15" s="204" t="s">
        <v>248</v>
      </c>
      <c r="E15" s="311" t="s">
        <v>249</v>
      </c>
      <c r="F15" s="175" t="s">
        <v>250</v>
      </c>
      <c r="G15" s="177" t="s">
        <v>251</v>
      </c>
      <c r="H15" s="174" t="s">
        <v>59</v>
      </c>
      <c r="I15" s="198">
        <v>0.182</v>
      </c>
      <c r="J15" s="199" t="s">
        <v>252</v>
      </c>
      <c r="K15" s="297">
        <v>1987508</v>
      </c>
      <c r="L15" s="179">
        <v>993754</v>
      </c>
      <c r="M15" s="180">
        <f t="shared" si="4"/>
        <v>993754</v>
      </c>
      <c r="N15" s="181">
        <v>0.5</v>
      </c>
      <c r="O15" s="182"/>
      <c r="P15" s="182"/>
      <c r="Q15" s="296">
        <v>397501.5</v>
      </c>
      <c r="R15" s="296">
        <v>596252.5</v>
      </c>
      <c r="S15" s="296"/>
      <c r="T15" s="296"/>
      <c r="U15" s="296"/>
      <c r="V15" s="296"/>
      <c r="W15" s="296"/>
      <c r="X15" s="297"/>
      <c r="Y15" s="290" t="b">
        <f t="shared" si="0"/>
        <v>1</v>
      </c>
      <c r="Z15" s="232">
        <f t="shared" si="1"/>
        <v>0.5</v>
      </c>
      <c r="AA15" s="298" t="b">
        <f t="shared" si="2"/>
        <v>1</v>
      </c>
      <c r="AB15" s="298" t="b">
        <f t="shared" si="3"/>
        <v>1</v>
      </c>
      <c r="AC15" s="189"/>
      <c r="AD15" s="189"/>
      <c r="AE15" s="189"/>
      <c r="AF15" s="190"/>
      <c r="AG15" s="190"/>
      <c r="AH15" s="189"/>
      <c r="AI15" s="189"/>
      <c r="AJ15" s="189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</row>
    <row r="16" spans="1:113" s="303" customFormat="1" ht="12.75">
      <c r="A16" s="175">
        <v>14</v>
      </c>
      <c r="B16" s="175" t="s">
        <v>253</v>
      </c>
      <c r="C16" s="304" t="s">
        <v>39</v>
      </c>
      <c r="D16" s="204" t="s">
        <v>254</v>
      </c>
      <c r="E16" s="311" t="s">
        <v>255</v>
      </c>
      <c r="F16" s="175" t="s">
        <v>256</v>
      </c>
      <c r="G16" s="177" t="s">
        <v>257</v>
      </c>
      <c r="H16" s="174" t="s">
        <v>42</v>
      </c>
      <c r="I16" s="198">
        <v>0.913</v>
      </c>
      <c r="J16" s="199" t="s">
        <v>258</v>
      </c>
      <c r="K16" s="297">
        <v>2226300</v>
      </c>
      <c r="L16" s="179">
        <v>1113150</v>
      </c>
      <c r="M16" s="180">
        <v>1113150</v>
      </c>
      <c r="N16" s="181">
        <v>0.5</v>
      </c>
      <c r="O16" s="182"/>
      <c r="P16" s="182"/>
      <c r="Q16" s="296">
        <v>0</v>
      </c>
      <c r="R16" s="296">
        <v>1113150</v>
      </c>
      <c r="S16" s="296"/>
      <c r="T16" s="296"/>
      <c r="U16" s="296"/>
      <c r="V16" s="296"/>
      <c r="W16" s="296"/>
      <c r="X16" s="297"/>
      <c r="Y16" s="290" t="b">
        <f t="shared" si="0"/>
        <v>1</v>
      </c>
      <c r="Z16" s="232">
        <f t="shared" si="1"/>
        <v>0.5</v>
      </c>
      <c r="AA16" s="298" t="b">
        <f t="shared" si="2"/>
        <v>1</v>
      </c>
      <c r="AB16" s="298" t="b">
        <f t="shared" si="3"/>
        <v>1</v>
      </c>
      <c r="AC16" s="189"/>
      <c r="AD16" s="189"/>
      <c r="AE16" s="189"/>
      <c r="AF16" s="190"/>
      <c r="AG16" s="190"/>
      <c r="AH16" s="189"/>
      <c r="AI16" s="189"/>
      <c r="AJ16" s="189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</row>
    <row r="17" spans="1:113" s="312" customFormat="1" ht="12.75">
      <c r="A17" s="175">
        <v>15</v>
      </c>
      <c r="B17" s="175" t="s">
        <v>259</v>
      </c>
      <c r="C17" s="304" t="s">
        <v>39</v>
      </c>
      <c r="D17" s="204" t="s">
        <v>232</v>
      </c>
      <c r="E17" s="311" t="s">
        <v>233</v>
      </c>
      <c r="F17" s="175" t="s">
        <v>234</v>
      </c>
      <c r="G17" s="177" t="s">
        <v>260</v>
      </c>
      <c r="H17" s="174" t="s">
        <v>42</v>
      </c>
      <c r="I17" s="198">
        <v>0.523</v>
      </c>
      <c r="J17" s="199" t="s">
        <v>236</v>
      </c>
      <c r="K17" s="297">
        <v>1956330.52</v>
      </c>
      <c r="L17" s="179">
        <v>978165.26</v>
      </c>
      <c r="M17" s="180">
        <f aca="true" t="shared" si="5" ref="M17:M25">K17-L17</f>
        <v>978165.26</v>
      </c>
      <c r="N17" s="181">
        <v>0.5</v>
      </c>
      <c r="O17" s="182"/>
      <c r="P17" s="182"/>
      <c r="Q17" s="296">
        <v>420611.1</v>
      </c>
      <c r="R17" s="296">
        <v>557554.16</v>
      </c>
      <c r="S17" s="296"/>
      <c r="T17" s="296"/>
      <c r="U17" s="296"/>
      <c r="V17" s="296"/>
      <c r="W17" s="296"/>
      <c r="X17" s="297"/>
      <c r="Y17" s="290" t="b">
        <f t="shared" si="0"/>
        <v>1</v>
      </c>
      <c r="Z17" s="232">
        <f t="shared" si="1"/>
        <v>0.5</v>
      </c>
      <c r="AA17" s="298" t="b">
        <f t="shared" si="2"/>
        <v>1</v>
      </c>
      <c r="AB17" s="298" t="b">
        <f t="shared" si="3"/>
        <v>1</v>
      </c>
      <c r="AC17" s="189"/>
      <c r="AD17" s="189"/>
      <c r="AE17" s="189"/>
      <c r="AF17" s="189"/>
      <c r="AG17" s="190"/>
      <c r="AH17" s="189"/>
      <c r="AI17" s="189"/>
      <c r="AJ17" s="189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</row>
    <row r="18" spans="1:113" s="205" customFormat="1" ht="12.75">
      <c r="A18" s="175">
        <v>16</v>
      </c>
      <c r="B18" s="175" t="s">
        <v>261</v>
      </c>
      <c r="C18" s="304" t="s">
        <v>39</v>
      </c>
      <c r="D18" s="300" t="s">
        <v>262</v>
      </c>
      <c r="E18" s="313" t="s">
        <v>263</v>
      </c>
      <c r="F18" s="175" t="s">
        <v>240</v>
      </c>
      <c r="G18" s="177" t="s">
        <v>264</v>
      </c>
      <c r="H18" s="174" t="s">
        <v>42</v>
      </c>
      <c r="I18" s="198">
        <v>0.982</v>
      </c>
      <c r="J18" s="199" t="s">
        <v>265</v>
      </c>
      <c r="K18" s="297">
        <v>9553055</v>
      </c>
      <c r="L18" s="179">
        <f>Q18+R18</f>
        <v>4776527.5</v>
      </c>
      <c r="M18" s="180">
        <f t="shared" si="5"/>
        <v>4776527.5</v>
      </c>
      <c r="N18" s="181">
        <v>0.5</v>
      </c>
      <c r="O18" s="182"/>
      <c r="P18" s="182"/>
      <c r="Q18" s="296">
        <v>2388263.5</v>
      </c>
      <c r="R18" s="296">
        <v>2388264</v>
      </c>
      <c r="S18" s="296"/>
      <c r="T18" s="296"/>
      <c r="U18" s="296"/>
      <c r="V18" s="296"/>
      <c r="W18" s="296"/>
      <c r="X18" s="296"/>
      <c r="Y18" s="290" t="b">
        <f aca="true" t="shared" si="6" ref="Y18:Y25">L18=SUM(O18:X18)</f>
        <v>1</v>
      </c>
      <c r="Z18" s="232">
        <f aca="true" t="shared" si="7" ref="Z18:Z25">ROUND(L18/K18,4)</f>
        <v>0.5</v>
      </c>
      <c r="AA18" s="298" t="b">
        <f aca="true" t="shared" si="8" ref="AA18:AA25">Z18=N18</f>
        <v>1</v>
      </c>
      <c r="AB18" s="298" t="b">
        <f aca="true" t="shared" si="9" ref="AB18:AB25">K18=L18+M18</f>
        <v>1</v>
      </c>
      <c r="AC18" s="189"/>
      <c r="AD18" s="189"/>
      <c r="AE18" s="189"/>
      <c r="AF18" s="314"/>
      <c r="AG18" s="314"/>
      <c r="AH18" s="189"/>
      <c r="AI18" s="189"/>
      <c r="AJ18" s="189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</row>
    <row r="19" spans="1:31" s="205" customFormat="1" ht="39" customHeight="1">
      <c r="A19" s="175">
        <v>17</v>
      </c>
      <c r="B19" s="175" t="s">
        <v>266</v>
      </c>
      <c r="C19" s="304" t="s">
        <v>39</v>
      </c>
      <c r="D19" s="204" t="s">
        <v>267</v>
      </c>
      <c r="E19" s="178">
        <v>2476011</v>
      </c>
      <c r="F19" s="174" t="s">
        <v>268</v>
      </c>
      <c r="G19" s="177" t="s">
        <v>269</v>
      </c>
      <c r="H19" s="174" t="s">
        <v>59</v>
      </c>
      <c r="I19" s="198">
        <v>1.41</v>
      </c>
      <c r="J19" s="199" t="s">
        <v>270</v>
      </c>
      <c r="K19" s="297">
        <v>9553370.5</v>
      </c>
      <c r="L19" s="179">
        <f>Q19+R19+S19</f>
        <v>4776685.25</v>
      </c>
      <c r="M19" s="180">
        <f t="shared" si="5"/>
        <v>4776685.25</v>
      </c>
      <c r="N19" s="181">
        <v>0.5</v>
      </c>
      <c r="O19" s="315"/>
      <c r="P19" s="315"/>
      <c r="Q19" s="316">
        <v>1000000</v>
      </c>
      <c r="R19" s="316">
        <v>0</v>
      </c>
      <c r="S19" s="296">
        <v>3776685.25</v>
      </c>
      <c r="T19" s="316"/>
      <c r="U19" s="316"/>
      <c r="V19" s="316"/>
      <c r="W19" s="316"/>
      <c r="X19" s="316"/>
      <c r="Y19" s="231" t="b">
        <f t="shared" si="6"/>
        <v>1</v>
      </c>
      <c r="Z19" s="317">
        <f t="shared" si="7"/>
        <v>0.5</v>
      </c>
      <c r="AA19" s="233" t="b">
        <f t="shared" si="8"/>
        <v>1</v>
      </c>
      <c r="AB19" s="233" t="b">
        <f t="shared" si="9"/>
        <v>1</v>
      </c>
      <c r="AD19" s="189"/>
      <c r="AE19" s="189"/>
    </row>
    <row r="20" spans="1:31" s="205" customFormat="1" ht="33" customHeight="1">
      <c r="A20" s="175">
        <v>18</v>
      </c>
      <c r="B20" s="175" t="s">
        <v>271</v>
      </c>
      <c r="C20" s="304" t="s">
        <v>39</v>
      </c>
      <c r="D20" s="204" t="s">
        <v>185</v>
      </c>
      <c r="E20" s="313" t="s">
        <v>272</v>
      </c>
      <c r="F20" s="175" t="s">
        <v>186</v>
      </c>
      <c r="G20" s="177" t="s">
        <v>273</v>
      </c>
      <c r="H20" s="174" t="s">
        <v>59</v>
      </c>
      <c r="I20" s="198">
        <v>4.091</v>
      </c>
      <c r="J20" s="199" t="s">
        <v>274</v>
      </c>
      <c r="K20" s="297">
        <v>9410119</v>
      </c>
      <c r="L20" s="179">
        <v>4705059.5</v>
      </c>
      <c r="M20" s="180">
        <f t="shared" si="5"/>
        <v>4705059.5</v>
      </c>
      <c r="N20" s="181">
        <v>0.5</v>
      </c>
      <c r="O20" s="315"/>
      <c r="P20" s="315"/>
      <c r="Q20" s="316">
        <v>215937.5</v>
      </c>
      <c r="R20" s="316">
        <v>529840</v>
      </c>
      <c r="S20" s="316">
        <v>827705.5</v>
      </c>
      <c r="T20" s="316">
        <v>1092471</v>
      </c>
      <c r="U20" s="316">
        <v>1011161.5</v>
      </c>
      <c r="V20" s="316">
        <v>1027944</v>
      </c>
      <c r="W20" s="318"/>
      <c r="X20" s="318"/>
      <c r="Y20" s="231" t="b">
        <f t="shared" si="6"/>
        <v>1</v>
      </c>
      <c r="Z20" s="317">
        <f t="shared" si="7"/>
        <v>0.5</v>
      </c>
      <c r="AA20" s="233" t="b">
        <f t="shared" si="8"/>
        <v>1</v>
      </c>
      <c r="AB20" s="233" t="b">
        <f t="shared" si="9"/>
        <v>1</v>
      </c>
      <c r="AD20" s="189"/>
      <c r="AE20" s="189"/>
    </row>
    <row r="21" spans="1:31" s="205" customFormat="1" ht="33" customHeight="1">
      <c r="A21" s="175">
        <v>19</v>
      </c>
      <c r="B21" s="175" t="s">
        <v>275</v>
      </c>
      <c r="C21" s="304" t="s">
        <v>39</v>
      </c>
      <c r="D21" s="204" t="s">
        <v>276</v>
      </c>
      <c r="E21" s="178" t="s">
        <v>277</v>
      </c>
      <c r="F21" s="174" t="s">
        <v>228</v>
      </c>
      <c r="G21" s="177" t="s">
        <v>278</v>
      </c>
      <c r="H21" s="174" t="s">
        <v>42</v>
      </c>
      <c r="I21" s="198">
        <v>1.526</v>
      </c>
      <c r="J21" s="199" t="s">
        <v>279</v>
      </c>
      <c r="K21" s="297">
        <v>7017821</v>
      </c>
      <c r="L21" s="179">
        <v>3508910.5</v>
      </c>
      <c r="M21" s="180">
        <f t="shared" si="5"/>
        <v>3508910.5</v>
      </c>
      <c r="N21" s="181">
        <v>0.5</v>
      </c>
      <c r="O21" s="315"/>
      <c r="P21" s="315"/>
      <c r="Q21" s="316">
        <v>580436.5</v>
      </c>
      <c r="R21" s="316">
        <v>2928474</v>
      </c>
      <c r="S21" s="316"/>
      <c r="T21" s="316"/>
      <c r="U21" s="316"/>
      <c r="V21" s="316"/>
      <c r="W21" s="318"/>
      <c r="X21" s="318"/>
      <c r="Y21" s="231" t="b">
        <f t="shared" si="6"/>
        <v>1</v>
      </c>
      <c r="Z21" s="317">
        <f t="shared" si="7"/>
        <v>0.5</v>
      </c>
      <c r="AA21" s="233" t="b">
        <f t="shared" si="8"/>
        <v>1</v>
      </c>
      <c r="AB21" s="233" t="b">
        <f t="shared" si="9"/>
        <v>1</v>
      </c>
      <c r="AD21" s="189"/>
      <c r="AE21" s="189"/>
    </row>
    <row r="22" spans="1:31" s="205" customFormat="1" ht="33" customHeight="1">
      <c r="A22" s="175">
        <v>20</v>
      </c>
      <c r="B22" s="175" t="s">
        <v>280</v>
      </c>
      <c r="C22" s="304" t="s">
        <v>39</v>
      </c>
      <c r="D22" s="204" t="s">
        <v>281</v>
      </c>
      <c r="E22" s="178" t="s">
        <v>282</v>
      </c>
      <c r="F22" s="174" t="s">
        <v>283</v>
      </c>
      <c r="G22" s="177" t="s">
        <v>284</v>
      </c>
      <c r="H22" s="174" t="s">
        <v>42</v>
      </c>
      <c r="I22" s="198">
        <v>3.802</v>
      </c>
      <c r="J22" s="199" t="s">
        <v>285</v>
      </c>
      <c r="K22" s="297">
        <v>3825710</v>
      </c>
      <c r="L22" s="179">
        <v>1912855</v>
      </c>
      <c r="M22" s="180">
        <f t="shared" si="5"/>
        <v>1912855</v>
      </c>
      <c r="N22" s="181">
        <v>0.5</v>
      </c>
      <c r="O22" s="315"/>
      <c r="P22" s="315"/>
      <c r="Q22" s="316">
        <v>900000</v>
      </c>
      <c r="R22" s="316">
        <v>1012855</v>
      </c>
      <c r="S22" s="316"/>
      <c r="T22" s="316"/>
      <c r="U22" s="316"/>
      <c r="V22" s="316"/>
      <c r="W22" s="318"/>
      <c r="X22" s="318"/>
      <c r="Y22" s="231" t="b">
        <f t="shared" si="6"/>
        <v>1</v>
      </c>
      <c r="Z22" s="317">
        <f t="shared" si="7"/>
        <v>0.5</v>
      </c>
      <c r="AA22" s="233" t="b">
        <f t="shared" si="8"/>
        <v>1</v>
      </c>
      <c r="AB22" s="233" t="b">
        <f t="shared" si="9"/>
        <v>1</v>
      </c>
      <c r="AD22" s="189"/>
      <c r="AE22" s="189"/>
    </row>
    <row r="23" spans="1:31" s="205" customFormat="1" ht="33" customHeight="1">
      <c r="A23" s="175">
        <v>21</v>
      </c>
      <c r="B23" s="175" t="s">
        <v>286</v>
      </c>
      <c r="C23" s="304" t="s">
        <v>39</v>
      </c>
      <c r="D23" s="204" t="s">
        <v>276</v>
      </c>
      <c r="E23" s="313" t="s">
        <v>277</v>
      </c>
      <c r="F23" s="175" t="s">
        <v>228</v>
      </c>
      <c r="G23" s="177" t="s">
        <v>287</v>
      </c>
      <c r="H23" s="174" t="s">
        <v>59</v>
      </c>
      <c r="I23" s="198">
        <v>0.701</v>
      </c>
      <c r="J23" s="199" t="s">
        <v>288</v>
      </c>
      <c r="K23" s="179">
        <v>2594377</v>
      </c>
      <c r="L23" s="179">
        <f>Q23+R23</f>
        <v>1297188.5</v>
      </c>
      <c r="M23" s="180">
        <f t="shared" si="5"/>
        <v>1297188.5</v>
      </c>
      <c r="N23" s="181">
        <v>0.5</v>
      </c>
      <c r="O23" s="315"/>
      <c r="P23" s="315"/>
      <c r="Q23" s="316">
        <v>625000</v>
      </c>
      <c r="R23" s="316">
        <v>672188.5</v>
      </c>
      <c r="S23" s="316"/>
      <c r="T23" s="316"/>
      <c r="U23" s="316"/>
      <c r="V23" s="316"/>
      <c r="W23" s="318"/>
      <c r="X23" s="318"/>
      <c r="Y23" s="231" t="b">
        <f t="shared" si="6"/>
        <v>1</v>
      </c>
      <c r="Z23" s="317">
        <f t="shared" si="7"/>
        <v>0.5</v>
      </c>
      <c r="AA23" s="233" t="b">
        <f t="shared" si="8"/>
        <v>1</v>
      </c>
      <c r="AB23" s="233" t="b">
        <f t="shared" si="9"/>
        <v>1</v>
      </c>
      <c r="AD23" s="189"/>
      <c r="AE23" s="189"/>
    </row>
    <row r="24" spans="1:30" s="205" customFormat="1" ht="12.75">
      <c r="A24" s="175">
        <v>22</v>
      </c>
      <c r="B24" s="175" t="s">
        <v>289</v>
      </c>
      <c r="C24" s="304" t="s">
        <v>39</v>
      </c>
      <c r="D24" s="204" t="s">
        <v>290</v>
      </c>
      <c r="E24" s="313" t="s">
        <v>291</v>
      </c>
      <c r="F24" s="175" t="s">
        <v>292</v>
      </c>
      <c r="G24" s="177" t="s">
        <v>293</v>
      </c>
      <c r="H24" s="174" t="s">
        <v>59</v>
      </c>
      <c r="I24" s="198">
        <v>1.961</v>
      </c>
      <c r="J24" s="199" t="s">
        <v>242</v>
      </c>
      <c r="K24" s="179">
        <v>11404747.34</v>
      </c>
      <c r="L24" s="179">
        <v>5702373.67</v>
      </c>
      <c r="M24" s="180">
        <f t="shared" si="5"/>
        <v>5702373.67</v>
      </c>
      <c r="N24" s="181">
        <v>0.5</v>
      </c>
      <c r="O24" s="315"/>
      <c r="P24" s="315"/>
      <c r="Q24" s="316">
        <v>3007377.4</v>
      </c>
      <c r="R24" s="316">
        <f>L24-Q24</f>
        <v>2694996.27</v>
      </c>
      <c r="S24" s="316"/>
      <c r="T24" s="316"/>
      <c r="U24" s="316"/>
      <c r="V24" s="316"/>
      <c r="W24" s="316"/>
      <c r="X24" s="316"/>
      <c r="Y24" s="231" t="b">
        <f t="shared" si="6"/>
        <v>1</v>
      </c>
      <c r="Z24" s="317">
        <f t="shared" si="7"/>
        <v>0.5</v>
      </c>
      <c r="AA24" s="233" t="b">
        <f t="shared" si="8"/>
        <v>1</v>
      </c>
      <c r="AB24" s="233" t="b">
        <f t="shared" si="9"/>
        <v>1</v>
      </c>
      <c r="AD24" s="189"/>
    </row>
    <row r="25" spans="1:30" s="205" customFormat="1" ht="12.75">
      <c r="A25" s="175">
        <v>23</v>
      </c>
      <c r="B25" s="175" t="s">
        <v>294</v>
      </c>
      <c r="C25" s="304" t="s">
        <v>39</v>
      </c>
      <c r="D25" s="204" t="s">
        <v>295</v>
      </c>
      <c r="E25" s="313" t="s">
        <v>296</v>
      </c>
      <c r="F25" s="175" t="s">
        <v>228</v>
      </c>
      <c r="G25" s="177" t="s">
        <v>297</v>
      </c>
      <c r="H25" s="174" t="s">
        <v>59</v>
      </c>
      <c r="I25" s="198">
        <v>1.55</v>
      </c>
      <c r="J25" s="199" t="s">
        <v>298</v>
      </c>
      <c r="K25" s="179">
        <v>11123788</v>
      </c>
      <c r="L25" s="179">
        <f>Q25+R25+S25</f>
        <v>3228286.930000007</v>
      </c>
      <c r="M25" s="180">
        <f t="shared" si="5"/>
        <v>7895501.069999993</v>
      </c>
      <c r="N25" s="181">
        <v>0.5</v>
      </c>
      <c r="O25" s="315"/>
      <c r="P25" s="315"/>
      <c r="Q25" s="316">
        <v>5000</v>
      </c>
      <c r="R25" s="316">
        <v>2110907.930000007</v>
      </c>
      <c r="S25" s="316">
        <v>1112379</v>
      </c>
      <c r="T25" s="316"/>
      <c r="U25" s="316"/>
      <c r="V25" s="316"/>
      <c r="W25" s="316"/>
      <c r="X25" s="316"/>
      <c r="Y25" s="231" t="b">
        <f t="shared" si="6"/>
        <v>1</v>
      </c>
      <c r="Z25" s="317">
        <f t="shared" si="7"/>
        <v>0.2902</v>
      </c>
      <c r="AA25" s="233" t="b">
        <f t="shared" si="8"/>
        <v>0</v>
      </c>
      <c r="AB25" s="233" t="b">
        <f t="shared" si="9"/>
        <v>1</v>
      </c>
      <c r="AD25" s="189"/>
    </row>
    <row r="26" spans="1:30" s="223" customFormat="1" ht="12.75">
      <c r="A26" s="175">
        <v>24</v>
      </c>
      <c r="B26" s="211" t="s">
        <v>299</v>
      </c>
      <c r="C26" s="211" t="s">
        <v>117</v>
      </c>
      <c r="D26" s="210" t="s">
        <v>300</v>
      </c>
      <c r="E26" s="308" t="s">
        <v>301</v>
      </c>
      <c r="F26" s="319" t="s">
        <v>216</v>
      </c>
      <c r="G26" s="224" t="s">
        <v>302</v>
      </c>
      <c r="H26" s="320" t="s">
        <v>42</v>
      </c>
      <c r="I26" s="321">
        <v>0.298</v>
      </c>
      <c r="J26" s="214" t="s">
        <v>154</v>
      </c>
      <c r="K26" s="216">
        <v>851088</v>
      </c>
      <c r="L26" s="216">
        <v>425544</v>
      </c>
      <c r="M26" s="237">
        <f aca="true" t="shared" si="10" ref="M26:M62">K26-L26</f>
        <v>425544</v>
      </c>
      <c r="N26" s="217">
        <v>0.5</v>
      </c>
      <c r="O26" s="322"/>
      <c r="P26" s="322"/>
      <c r="Q26" s="318"/>
      <c r="R26" s="318">
        <v>425544</v>
      </c>
      <c r="S26" s="318"/>
      <c r="T26" s="318"/>
      <c r="U26" s="318"/>
      <c r="V26" s="318"/>
      <c r="W26" s="318"/>
      <c r="X26" s="318"/>
      <c r="Y26" s="231" t="b">
        <f aca="true" t="shared" si="11" ref="Y26:Y61">L26=SUM(O26:X26)</f>
        <v>1</v>
      </c>
      <c r="Z26" s="317">
        <f aca="true" t="shared" si="12" ref="Z26:Z61">ROUND(L26/K26,4)</f>
        <v>0.5</v>
      </c>
      <c r="AA26" s="233" t="b">
        <f aca="true" t="shared" si="13" ref="AA26:AA61">Z26=N26</f>
        <v>1</v>
      </c>
      <c r="AB26" s="233" t="b">
        <f aca="true" t="shared" si="14" ref="AB26:AB61">K26=L26+M26</f>
        <v>1</v>
      </c>
      <c r="AD26" s="323"/>
    </row>
    <row r="27" spans="1:30" s="223" customFormat="1" ht="12.75">
      <c r="A27" s="175">
        <v>25</v>
      </c>
      <c r="B27" s="211" t="s">
        <v>303</v>
      </c>
      <c r="C27" s="211" t="s">
        <v>117</v>
      </c>
      <c r="D27" s="210" t="s">
        <v>304</v>
      </c>
      <c r="E27" s="308" t="s">
        <v>305</v>
      </c>
      <c r="F27" s="319" t="s">
        <v>196</v>
      </c>
      <c r="G27" s="224" t="s">
        <v>306</v>
      </c>
      <c r="H27" s="320" t="s">
        <v>42</v>
      </c>
      <c r="I27" s="321">
        <v>0.28</v>
      </c>
      <c r="J27" s="214" t="s">
        <v>150</v>
      </c>
      <c r="K27" s="216">
        <v>1336667</v>
      </c>
      <c r="L27" s="216">
        <v>668333.5</v>
      </c>
      <c r="M27" s="237">
        <f t="shared" si="10"/>
        <v>668333.5</v>
      </c>
      <c r="N27" s="217">
        <v>0.5</v>
      </c>
      <c r="O27" s="322"/>
      <c r="P27" s="322"/>
      <c r="Q27" s="318"/>
      <c r="R27" s="318">
        <v>668333.5</v>
      </c>
      <c r="S27" s="318"/>
      <c r="T27" s="318"/>
      <c r="U27" s="318"/>
      <c r="V27" s="318"/>
      <c r="W27" s="318"/>
      <c r="X27" s="318"/>
      <c r="Y27" s="231" t="b">
        <f t="shared" si="11"/>
        <v>1</v>
      </c>
      <c r="Z27" s="317">
        <f t="shared" si="12"/>
        <v>0.5</v>
      </c>
      <c r="AA27" s="233" t="b">
        <f t="shared" si="13"/>
        <v>1</v>
      </c>
      <c r="AB27" s="233" t="b">
        <f t="shared" si="14"/>
        <v>1</v>
      </c>
      <c r="AD27" s="323"/>
    </row>
    <row r="28" spans="1:30" s="223" customFormat="1" ht="12.75">
      <c r="A28" s="175">
        <v>26</v>
      </c>
      <c r="B28" s="211" t="s">
        <v>307</v>
      </c>
      <c r="C28" s="211" t="s">
        <v>117</v>
      </c>
      <c r="D28" s="210" t="s">
        <v>308</v>
      </c>
      <c r="E28" s="308" t="s">
        <v>309</v>
      </c>
      <c r="F28" s="319" t="s">
        <v>310</v>
      </c>
      <c r="G28" s="224" t="s">
        <v>311</v>
      </c>
      <c r="H28" s="320" t="s">
        <v>87</v>
      </c>
      <c r="I28" s="321">
        <v>0.366</v>
      </c>
      <c r="J28" s="214" t="s">
        <v>312</v>
      </c>
      <c r="K28" s="216">
        <v>224684</v>
      </c>
      <c r="L28" s="216">
        <v>123576.20000000001</v>
      </c>
      <c r="M28" s="237">
        <f t="shared" si="10"/>
        <v>101107.79999999999</v>
      </c>
      <c r="N28" s="217">
        <v>0.55</v>
      </c>
      <c r="O28" s="322"/>
      <c r="P28" s="322"/>
      <c r="Q28" s="318"/>
      <c r="R28" s="318">
        <v>123576.20000000001</v>
      </c>
      <c r="S28" s="318"/>
      <c r="T28" s="318"/>
      <c r="U28" s="318"/>
      <c r="V28" s="318"/>
      <c r="W28" s="318"/>
      <c r="X28" s="318"/>
      <c r="Y28" s="231" t="b">
        <f t="shared" si="11"/>
        <v>1</v>
      </c>
      <c r="Z28" s="317">
        <f t="shared" si="12"/>
        <v>0.55</v>
      </c>
      <c r="AA28" s="233" t="b">
        <f t="shared" si="13"/>
        <v>1</v>
      </c>
      <c r="AB28" s="233" t="b">
        <f t="shared" si="14"/>
        <v>1</v>
      </c>
      <c r="AD28" s="323"/>
    </row>
    <row r="29" spans="1:30" s="223" customFormat="1" ht="12.75">
      <c r="A29" s="175">
        <v>27</v>
      </c>
      <c r="B29" s="211" t="s">
        <v>313</v>
      </c>
      <c r="C29" s="211" t="s">
        <v>117</v>
      </c>
      <c r="D29" s="210" t="s">
        <v>314</v>
      </c>
      <c r="E29" s="308" t="s">
        <v>315</v>
      </c>
      <c r="F29" s="319" t="s">
        <v>196</v>
      </c>
      <c r="G29" s="224" t="s">
        <v>316</v>
      </c>
      <c r="H29" s="320" t="s">
        <v>42</v>
      </c>
      <c r="I29" s="321">
        <v>0.918</v>
      </c>
      <c r="J29" s="214" t="s">
        <v>317</v>
      </c>
      <c r="K29" s="216">
        <v>2334405</v>
      </c>
      <c r="L29" s="216">
        <v>1283922.75</v>
      </c>
      <c r="M29" s="237">
        <f t="shared" si="10"/>
        <v>1050482.25</v>
      </c>
      <c r="N29" s="217">
        <v>0.55</v>
      </c>
      <c r="O29" s="322"/>
      <c r="P29" s="322"/>
      <c r="Q29" s="318"/>
      <c r="R29" s="318">
        <v>1283922.75</v>
      </c>
      <c r="S29" s="318"/>
      <c r="T29" s="318"/>
      <c r="U29" s="318"/>
      <c r="V29" s="318"/>
      <c r="W29" s="318"/>
      <c r="X29" s="318"/>
      <c r="Y29" s="231" t="b">
        <f t="shared" si="11"/>
        <v>1</v>
      </c>
      <c r="Z29" s="317">
        <f t="shared" si="12"/>
        <v>0.55</v>
      </c>
      <c r="AA29" s="233" t="b">
        <f t="shared" si="13"/>
        <v>1</v>
      </c>
      <c r="AB29" s="233" t="b">
        <f t="shared" si="14"/>
        <v>1</v>
      </c>
      <c r="AD29" s="323"/>
    </row>
    <row r="30" spans="1:30" s="223" customFormat="1" ht="12.75">
      <c r="A30" s="175">
        <v>28</v>
      </c>
      <c r="B30" s="211" t="s">
        <v>318</v>
      </c>
      <c r="C30" s="211" t="s">
        <v>117</v>
      </c>
      <c r="D30" s="210" t="s">
        <v>319</v>
      </c>
      <c r="E30" s="308" t="s">
        <v>320</v>
      </c>
      <c r="F30" s="319" t="s">
        <v>310</v>
      </c>
      <c r="G30" s="224" t="s">
        <v>321</v>
      </c>
      <c r="H30" s="320" t="s">
        <v>87</v>
      </c>
      <c r="I30" s="321">
        <v>1.062</v>
      </c>
      <c r="J30" s="214" t="s">
        <v>322</v>
      </c>
      <c r="K30" s="216">
        <v>914000</v>
      </c>
      <c r="L30" s="216">
        <v>502700.00000000006</v>
      </c>
      <c r="M30" s="237">
        <f t="shared" si="10"/>
        <v>411299.99999999994</v>
      </c>
      <c r="N30" s="217">
        <v>0.55</v>
      </c>
      <c r="O30" s="322"/>
      <c r="P30" s="322"/>
      <c r="Q30" s="318"/>
      <c r="R30" s="318">
        <v>502700.00000000006</v>
      </c>
      <c r="S30" s="318"/>
      <c r="T30" s="318"/>
      <c r="U30" s="318"/>
      <c r="V30" s="318"/>
      <c r="W30" s="318"/>
      <c r="X30" s="318"/>
      <c r="Y30" s="231" t="b">
        <f t="shared" si="11"/>
        <v>1</v>
      </c>
      <c r="Z30" s="317">
        <f t="shared" si="12"/>
        <v>0.55</v>
      </c>
      <c r="AA30" s="233" t="b">
        <f t="shared" si="13"/>
        <v>1</v>
      </c>
      <c r="AB30" s="233" t="b">
        <f t="shared" si="14"/>
        <v>1</v>
      </c>
      <c r="AD30" s="323"/>
    </row>
    <row r="31" spans="1:30" s="223" customFormat="1" ht="12.75">
      <c r="A31" s="175">
        <v>29</v>
      </c>
      <c r="B31" s="211" t="s">
        <v>323</v>
      </c>
      <c r="C31" s="211" t="s">
        <v>117</v>
      </c>
      <c r="D31" s="210" t="s">
        <v>324</v>
      </c>
      <c r="E31" s="308" t="s">
        <v>325</v>
      </c>
      <c r="F31" s="319" t="s">
        <v>310</v>
      </c>
      <c r="G31" s="224" t="s">
        <v>326</v>
      </c>
      <c r="H31" s="320" t="s">
        <v>87</v>
      </c>
      <c r="I31" s="321">
        <v>0.798</v>
      </c>
      <c r="J31" s="214" t="s">
        <v>312</v>
      </c>
      <c r="K31" s="216">
        <v>730023</v>
      </c>
      <c r="L31" s="216">
        <v>365011.5</v>
      </c>
      <c r="M31" s="237">
        <f t="shared" si="10"/>
        <v>365011.5</v>
      </c>
      <c r="N31" s="217">
        <v>0.5</v>
      </c>
      <c r="O31" s="322"/>
      <c r="P31" s="322"/>
      <c r="Q31" s="318"/>
      <c r="R31" s="318">
        <v>365011.5</v>
      </c>
      <c r="S31" s="318"/>
      <c r="T31" s="318"/>
      <c r="U31" s="318"/>
      <c r="V31" s="318"/>
      <c r="W31" s="318"/>
      <c r="X31" s="318"/>
      <c r="Y31" s="231" t="b">
        <f t="shared" si="11"/>
        <v>1</v>
      </c>
      <c r="Z31" s="317">
        <f t="shared" si="12"/>
        <v>0.5</v>
      </c>
      <c r="AA31" s="233" t="b">
        <f t="shared" si="13"/>
        <v>1</v>
      </c>
      <c r="AB31" s="233" t="b">
        <f t="shared" si="14"/>
        <v>1</v>
      </c>
      <c r="AD31" s="323"/>
    </row>
    <row r="32" spans="1:30" s="223" customFormat="1" ht="12.75">
      <c r="A32" s="175">
        <v>30</v>
      </c>
      <c r="B32" s="211" t="s">
        <v>327</v>
      </c>
      <c r="C32" s="211" t="s">
        <v>117</v>
      </c>
      <c r="D32" s="210" t="s">
        <v>328</v>
      </c>
      <c r="E32" s="308" t="s">
        <v>329</v>
      </c>
      <c r="F32" s="319" t="s">
        <v>216</v>
      </c>
      <c r="G32" s="224" t="s">
        <v>330</v>
      </c>
      <c r="H32" s="320" t="s">
        <v>42</v>
      </c>
      <c r="I32" s="321">
        <v>0.675</v>
      </c>
      <c r="J32" s="214" t="s">
        <v>131</v>
      </c>
      <c r="K32" s="216">
        <v>2546681</v>
      </c>
      <c r="L32" s="216">
        <v>1273340.5</v>
      </c>
      <c r="M32" s="237">
        <f t="shared" si="10"/>
        <v>1273340.5</v>
      </c>
      <c r="N32" s="217">
        <v>0.5</v>
      </c>
      <c r="O32" s="322"/>
      <c r="P32" s="322"/>
      <c r="Q32" s="318"/>
      <c r="R32" s="318">
        <v>1273340.5</v>
      </c>
      <c r="S32" s="318"/>
      <c r="T32" s="318"/>
      <c r="U32" s="318"/>
      <c r="V32" s="318"/>
      <c r="W32" s="318"/>
      <c r="X32" s="318"/>
      <c r="Y32" s="231" t="b">
        <f t="shared" si="11"/>
        <v>1</v>
      </c>
      <c r="Z32" s="317">
        <f t="shared" si="12"/>
        <v>0.5</v>
      </c>
      <c r="AA32" s="233" t="b">
        <f t="shared" si="13"/>
        <v>1</v>
      </c>
      <c r="AB32" s="233" t="b">
        <f t="shared" si="14"/>
        <v>1</v>
      </c>
      <c r="AD32" s="323"/>
    </row>
    <row r="33" spans="1:30" s="223" customFormat="1" ht="12.75">
      <c r="A33" s="175">
        <v>31</v>
      </c>
      <c r="B33" s="211" t="s">
        <v>331</v>
      </c>
      <c r="C33" s="211" t="s">
        <v>117</v>
      </c>
      <c r="D33" s="210" t="s">
        <v>314</v>
      </c>
      <c r="E33" s="308" t="s">
        <v>315</v>
      </c>
      <c r="F33" s="319" t="s">
        <v>196</v>
      </c>
      <c r="G33" s="224" t="s">
        <v>332</v>
      </c>
      <c r="H33" s="320" t="s">
        <v>42</v>
      </c>
      <c r="I33" s="321">
        <v>1.276</v>
      </c>
      <c r="J33" s="214" t="s">
        <v>317</v>
      </c>
      <c r="K33" s="216">
        <v>2833380</v>
      </c>
      <c r="L33" s="216">
        <v>1558359.0000000002</v>
      </c>
      <c r="M33" s="237">
        <f t="shared" si="10"/>
        <v>1275020.9999999998</v>
      </c>
      <c r="N33" s="217">
        <v>0.55</v>
      </c>
      <c r="O33" s="322"/>
      <c r="P33" s="322"/>
      <c r="Q33" s="318"/>
      <c r="R33" s="318">
        <v>1558359.0000000002</v>
      </c>
      <c r="S33" s="318"/>
      <c r="T33" s="318"/>
      <c r="U33" s="318"/>
      <c r="V33" s="318"/>
      <c r="W33" s="318"/>
      <c r="X33" s="318"/>
      <c r="Y33" s="231" t="b">
        <f t="shared" si="11"/>
        <v>1</v>
      </c>
      <c r="Z33" s="317">
        <f t="shared" si="12"/>
        <v>0.55</v>
      </c>
      <c r="AA33" s="233" t="b">
        <f t="shared" si="13"/>
        <v>1</v>
      </c>
      <c r="AB33" s="233" t="b">
        <f t="shared" si="14"/>
        <v>1</v>
      </c>
      <c r="AD33" s="323"/>
    </row>
    <row r="34" spans="1:30" s="223" customFormat="1" ht="12.75">
      <c r="A34" s="175">
        <v>32</v>
      </c>
      <c r="B34" s="211" t="s">
        <v>333</v>
      </c>
      <c r="C34" s="211" t="s">
        <v>117</v>
      </c>
      <c r="D34" s="210" t="s">
        <v>334</v>
      </c>
      <c r="E34" s="308" t="s">
        <v>335</v>
      </c>
      <c r="F34" s="319" t="s">
        <v>310</v>
      </c>
      <c r="G34" s="224" t="s">
        <v>336</v>
      </c>
      <c r="H34" s="320" t="s">
        <v>42</v>
      </c>
      <c r="I34" s="321">
        <v>0.444</v>
      </c>
      <c r="J34" s="214" t="s">
        <v>337</v>
      </c>
      <c r="K34" s="216">
        <v>8608000</v>
      </c>
      <c r="L34" s="216">
        <v>4734400</v>
      </c>
      <c r="M34" s="237">
        <f t="shared" si="10"/>
        <v>3873600</v>
      </c>
      <c r="N34" s="217">
        <v>0.55</v>
      </c>
      <c r="O34" s="322"/>
      <c r="P34" s="322"/>
      <c r="Q34" s="318"/>
      <c r="R34" s="318">
        <v>4734400</v>
      </c>
      <c r="S34" s="318"/>
      <c r="T34" s="318"/>
      <c r="U34" s="318"/>
      <c r="V34" s="318"/>
      <c r="W34" s="318"/>
      <c r="X34" s="318"/>
      <c r="Y34" s="231" t="b">
        <f t="shared" si="11"/>
        <v>1</v>
      </c>
      <c r="Z34" s="317">
        <f t="shared" si="12"/>
        <v>0.55</v>
      </c>
      <c r="AA34" s="233" t="b">
        <f t="shared" si="13"/>
        <v>1</v>
      </c>
      <c r="AB34" s="233" t="b">
        <f t="shared" si="14"/>
        <v>1</v>
      </c>
      <c r="AD34" s="323"/>
    </row>
    <row r="35" spans="1:30" s="205" customFormat="1" ht="12.75">
      <c r="A35" s="175">
        <v>33</v>
      </c>
      <c r="B35" s="175" t="s">
        <v>338</v>
      </c>
      <c r="C35" s="175" t="s">
        <v>110</v>
      </c>
      <c r="D35" s="204" t="s">
        <v>339</v>
      </c>
      <c r="E35" s="313" t="s">
        <v>340</v>
      </c>
      <c r="F35" s="301" t="s">
        <v>196</v>
      </c>
      <c r="G35" s="177" t="s">
        <v>341</v>
      </c>
      <c r="H35" s="324" t="s">
        <v>42</v>
      </c>
      <c r="I35" s="198">
        <v>1.411</v>
      </c>
      <c r="J35" s="199" t="s">
        <v>342</v>
      </c>
      <c r="K35" s="179">
        <v>5558826</v>
      </c>
      <c r="L35" s="179">
        <v>2779413</v>
      </c>
      <c r="M35" s="180">
        <f t="shared" si="10"/>
        <v>2779413</v>
      </c>
      <c r="N35" s="181">
        <v>0.5</v>
      </c>
      <c r="O35" s="315"/>
      <c r="P35" s="315"/>
      <c r="Q35" s="316"/>
      <c r="R35" s="316">
        <v>1500000</v>
      </c>
      <c r="S35" s="316">
        <v>1279413</v>
      </c>
      <c r="T35" s="316"/>
      <c r="U35" s="316"/>
      <c r="V35" s="316"/>
      <c r="W35" s="316"/>
      <c r="X35" s="316"/>
      <c r="Y35" s="231" t="b">
        <f t="shared" si="11"/>
        <v>1</v>
      </c>
      <c r="Z35" s="317">
        <f t="shared" si="12"/>
        <v>0.5</v>
      </c>
      <c r="AA35" s="233" t="b">
        <f t="shared" si="13"/>
        <v>1</v>
      </c>
      <c r="AB35" s="233" t="b">
        <f t="shared" si="14"/>
        <v>1</v>
      </c>
      <c r="AD35" s="325"/>
    </row>
    <row r="36" spans="1:30" s="223" customFormat="1" ht="12.75">
      <c r="A36" s="175">
        <v>34</v>
      </c>
      <c r="B36" s="211" t="s">
        <v>343</v>
      </c>
      <c r="C36" s="211" t="s">
        <v>117</v>
      </c>
      <c r="D36" s="210" t="s">
        <v>344</v>
      </c>
      <c r="E36" s="308" t="s">
        <v>345</v>
      </c>
      <c r="F36" s="319" t="s">
        <v>222</v>
      </c>
      <c r="G36" s="224" t="s">
        <v>346</v>
      </c>
      <c r="H36" s="320" t="s">
        <v>59</v>
      </c>
      <c r="I36" s="321">
        <v>0.886</v>
      </c>
      <c r="J36" s="214" t="s">
        <v>347</v>
      </c>
      <c r="K36" s="216">
        <v>4450790</v>
      </c>
      <c r="L36" s="216">
        <v>2225395</v>
      </c>
      <c r="M36" s="237">
        <f t="shared" si="10"/>
        <v>2225395</v>
      </c>
      <c r="N36" s="217">
        <v>0.5</v>
      </c>
      <c r="O36" s="322"/>
      <c r="P36" s="322"/>
      <c r="Q36" s="318"/>
      <c r="R36" s="318">
        <v>2225395</v>
      </c>
      <c r="S36" s="318"/>
      <c r="T36" s="318"/>
      <c r="U36" s="318"/>
      <c r="V36" s="318"/>
      <c r="W36" s="318"/>
      <c r="X36" s="318"/>
      <c r="Y36" s="231" t="b">
        <f t="shared" si="11"/>
        <v>1</v>
      </c>
      <c r="Z36" s="317">
        <f t="shared" si="12"/>
        <v>0.5</v>
      </c>
      <c r="AA36" s="233" t="b">
        <f t="shared" si="13"/>
        <v>1</v>
      </c>
      <c r="AB36" s="233" t="b">
        <f t="shared" si="14"/>
        <v>1</v>
      </c>
      <c r="AD36" s="323"/>
    </row>
    <row r="37" spans="1:30" s="205" customFormat="1" ht="12.75">
      <c r="A37" s="175">
        <v>35</v>
      </c>
      <c r="B37" s="175" t="s">
        <v>348</v>
      </c>
      <c r="C37" s="175" t="s">
        <v>110</v>
      </c>
      <c r="D37" s="204" t="s">
        <v>349</v>
      </c>
      <c r="E37" s="313" t="s">
        <v>350</v>
      </c>
      <c r="F37" s="301" t="s">
        <v>222</v>
      </c>
      <c r="G37" s="177" t="s">
        <v>351</v>
      </c>
      <c r="H37" s="324" t="s">
        <v>42</v>
      </c>
      <c r="I37" s="198">
        <v>2.268</v>
      </c>
      <c r="J37" s="199" t="s">
        <v>352</v>
      </c>
      <c r="K37" s="179">
        <v>7282583</v>
      </c>
      <c r="L37" s="179">
        <v>3641291.5</v>
      </c>
      <c r="M37" s="180">
        <f t="shared" si="10"/>
        <v>3641291.5</v>
      </c>
      <c r="N37" s="181">
        <v>0.5</v>
      </c>
      <c r="O37" s="315"/>
      <c r="P37" s="315"/>
      <c r="Q37" s="316"/>
      <c r="R37" s="316">
        <v>1820646</v>
      </c>
      <c r="S37" s="316">
        <v>1820645.5</v>
      </c>
      <c r="T37" s="316"/>
      <c r="U37" s="316"/>
      <c r="V37" s="316"/>
      <c r="W37" s="316"/>
      <c r="X37" s="316"/>
      <c r="Y37" s="231" t="b">
        <f t="shared" si="11"/>
        <v>1</v>
      </c>
      <c r="Z37" s="317">
        <f t="shared" si="12"/>
        <v>0.5</v>
      </c>
      <c r="AA37" s="233" t="b">
        <f t="shared" si="13"/>
        <v>1</v>
      </c>
      <c r="AB37" s="233" t="b">
        <f t="shared" si="14"/>
        <v>1</v>
      </c>
      <c r="AD37" s="325"/>
    </row>
    <row r="38" spans="1:30" s="205" customFormat="1" ht="12.75">
      <c r="A38" s="175">
        <v>36</v>
      </c>
      <c r="B38" s="175" t="s">
        <v>353</v>
      </c>
      <c r="C38" s="175" t="s">
        <v>110</v>
      </c>
      <c r="D38" s="204" t="s">
        <v>281</v>
      </c>
      <c r="E38" s="313" t="s">
        <v>282</v>
      </c>
      <c r="F38" s="301" t="s">
        <v>283</v>
      </c>
      <c r="G38" s="177" t="s">
        <v>354</v>
      </c>
      <c r="H38" s="324" t="s">
        <v>42</v>
      </c>
      <c r="I38" s="198">
        <v>4.7</v>
      </c>
      <c r="J38" s="199" t="s">
        <v>355</v>
      </c>
      <c r="K38" s="179">
        <v>4705000</v>
      </c>
      <c r="L38" s="179">
        <v>2352500</v>
      </c>
      <c r="M38" s="180">
        <f t="shared" si="10"/>
        <v>2352500</v>
      </c>
      <c r="N38" s="181">
        <v>0.5</v>
      </c>
      <c r="O38" s="315"/>
      <c r="P38" s="315"/>
      <c r="Q38" s="316"/>
      <c r="R38" s="316">
        <v>900000</v>
      </c>
      <c r="S38" s="316">
        <v>1452500</v>
      </c>
      <c r="T38" s="316"/>
      <c r="U38" s="316"/>
      <c r="V38" s="316"/>
      <c r="W38" s="316"/>
      <c r="X38" s="316"/>
      <c r="Y38" s="231" t="b">
        <f t="shared" si="11"/>
        <v>1</v>
      </c>
      <c r="Z38" s="317">
        <f t="shared" si="12"/>
        <v>0.5</v>
      </c>
      <c r="AA38" s="233" t="b">
        <f t="shared" si="13"/>
        <v>1</v>
      </c>
      <c r="AB38" s="233" t="b">
        <f t="shared" si="14"/>
        <v>1</v>
      </c>
      <c r="AD38" s="325"/>
    </row>
    <row r="39" spans="1:30" s="205" customFormat="1" ht="12.75">
      <c r="A39" s="175">
        <v>37</v>
      </c>
      <c r="B39" s="175" t="s">
        <v>356</v>
      </c>
      <c r="C39" s="175" t="s">
        <v>110</v>
      </c>
      <c r="D39" s="204" t="s">
        <v>357</v>
      </c>
      <c r="E39" s="313" t="s">
        <v>358</v>
      </c>
      <c r="F39" s="301" t="s">
        <v>210</v>
      </c>
      <c r="G39" s="177" t="s">
        <v>359</v>
      </c>
      <c r="H39" s="324" t="s">
        <v>59</v>
      </c>
      <c r="I39" s="198">
        <v>0.802</v>
      </c>
      <c r="J39" s="199" t="s">
        <v>360</v>
      </c>
      <c r="K39" s="179">
        <v>5594542</v>
      </c>
      <c r="L39" s="179">
        <v>2797271</v>
      </c>
      <c r="M39" s="180">
        <f t="shared" si="10"/>
        <v>2797271</v>
      </c>
      <c r="N39" s="181">
        <v>0.5</v>
      </c>
      <c r="O39" s="315"/>
      <c r="P39" s="315"/>
      <c r="Q39" s="316"/>
      <c r="R39" s="316">
        <v>1341709.5</v>
      </c>
      <c r="S39" s="316">
        <v>1455561.5</v>
      </c>
      <c r="T39" s="316"/>
      <c r="U39" s="316"/>
      <c r="V39" s="316"/>
      <c r="W39" s="316"/>
      <c r="X39" s="316"/>
      <c r="Y39" s="231" t="b">
        <f t="shared" si="11"/>
        <v>1</v>
      </c>
      <c r="Z39" s="317">
        <f t="shared" si="12"/>
        <v>0.5</v>
      </c>
      <c r="AA39" s="233" t="b">
        <f t="shared" si="13"/>
        <v>1</v>
      </c>
      <c r="AB39" s="233" t="b">
        <f t="shared" si="14"/>
        <v>1</v>
      </c>
      <c r="AD39" s="325"/>
    </row>
    <row r="40" spans="1:30" s="205" customFormat="1" ht="12.75">
      <c r="A40" s="175">
        <v>38</v>
      </c>
      <c r="B40" s="175" t="s">
        <v>361</v>
      </c>
      <c r="C40" s="175" t="s">
        <v>110</v>
      </c>
      <c r="D40" s="204" t="s">
        <v>362</v>
      </c>
      <c r="E40" s="313">
        <v>2406072</v>
      </c>
      <c r="F40" s="301" t="s">
        <v>186</v>
      </c>
      <c r="G40" s="177" t="s">
        <v>363</v>
      </c>
      <c r="H40" s="324" t="s">
        <v>59</v>
      </c>
      <c r="I40" s="198">
        <v>0.515</v>
      </c>
      <c r="J40" s="199" t="s">
        <v>364</v>
      </c>
      <c r="K40" s="179">
        <v>1770878</v>
      </c>
      <c r="L40" s="179">
        <v>885439</v>
      </c>
      <c r="M40" s="180">
        <f t="shared" si="10"/>
        <v>885439</v>
      </c>
      <c r="N40" s="181">
        <v>0.5</v>
      </c>
      <c r="O40" s="315"/>
      <c r="P40" s="315"/>
      <c r="Q40" s="316"/>
      <c r="R40" s="316">
        <v>34440</v>
      </c>
      <c r="S40" s="316">
        <v>850999</v>
      </c>
      <c r="T40" s="316"/>
      <c r="U40" s="316"/>
      <c r="V40" s="316"/>
      <c r="W40" s="316"/>
      <c r="X40" s="316"/>
      <c r="Y40" s="231" t="b">
        <f t="shared" si="11"/>
        <v>1</v>
      </c>
      <c r="Z40" s="317">
        <f t="shared" si="12"/>
        <v>0.5</v>
      </c>
      <c r="AA40" s="233" t="b">
        <f t="shared" si="13"/>
        <v>1</v>
      </c>
      <c r="AB40" s="233" t="b">
        <f t="shared" si="14"/>
        <v>1</v>
      </c>
      <c r="AD40" s="325"/>
    </row>
    <row r="41" spans="1:30" s="223" customFormat="1" ht="12.75">
      <c r="A41" s="175">
        <v>39</v>
      </c>
      <c r="B41" s="211" t="s">
        <v>365</v>
      </c>
      <c r="C41" s="211" t="s">
        <v>117</v>
      </c>
      <c r="D41" s="210" t="s">
        <v>366</v>
      </c>
      <c r="E41" s="308" t="s">
        <v>367</v>
      </c>
      <c r="F41" s="319" t="s">
        <v>222</v>
      </c>
      <c r="G41" s="224" t="s">
        <v>368</v>
      </c>
      <c r="H41" s="320" t="s">
        <v>42</v>
      </c>
      <c r="I41" s="321">
        <v>0.966</v>
      </c>
      <c r="J41" s="214" t="s">
        <v>369</v>
      </c>
      <c r="K41" s="216">
        <v>1049794</v>
      </c>
      <c r="L41" s="216">
        <v>524897</v>
      </c>
      <c r="M41" s="237">
        <f t="shared" si="10"/>
        <v>524897</v>
      </c>
      <c r="N41" s="217">
        <v>0.5</v>
      </c>
      <c r="O41" s="322"/>
      <c r="P41" s="322"/>
      <c r="Q41" s="318"/>
      <c r="R41" s="318">
        <v>524897</v>
      </c>
      <c r="S41" s="318"/>
      <c r="T41" s="318"/>
      <c r="U41" s="318"/>
      <c r="V41" s="318"/>
      <c r="W41" s="318"/>
      <c r="X41" s="318"/>
      <c r="Y41" s="231" t="b">
        <f t="shared" si="11"/>
        <v>1</v>
      </c>
      <c r="Z41" s="317">
        <f t="shared" si="12"/>
        <v>0.5</v>
      </c>
      <c r="AA41" s="233" t="b">
        <f t="shared" si="13"/>
        <v>1</v>
      </c>
      <c r="AB41" s="233" t="b">
        <f t="shared" si="14"/>
        <v>1</v>
      </c>
      <c r="AD41" s="323"/>
    </row>
    <row r="42" spans="1:30" s="223" customFormat="1" ht="12.75">
      <c r="A42" s="175">
        <v>40</v>
      </c>
      <c r="B42" s="211" t="s">
        <v>370</v>
      </c>
      <c r="C42" s="211" t="s">
        <v>117</v>
      </c>
      <c r="D42" s="210" t="s">
        <v>371</v>
      </c>
      <c r="E42" s="308" t="s">
        <v>372</v>
      </c>
      <c r="F42" s="319" t="s">
        <v>210</v>
      </c>
      <c r="G42" s="224" t="s">
        <v>373</v>
      </c>
      <c r="H42" s="320" t="s">
        <v>59</v>
      </c>
      <c r="I42" s="321">
        <v>0.656</v>
      </c>
      <c r="J42" s="214" t="s">
        <v>374</v>
      </c>
      <c r="K42" s="216">
        <v>1109971</v>
      </c>
      <c r="L42" s="216">
        <f>INT(K42*N42)</f>
        <v>887976</v>
      </c>
      <c r="M42" s="237">
        <f t="shared" si="10"/>
        <v>221995</v>
      </c>
      <c r="N42" s="217">
        <v>0.8</v>
      </c>
      <c r="O42" s="322"/>
      <c r="P42" s="322"/>
      <c r="Q42" s="318"/>
      <c r="R42" s="318">
        <f>L42:L43</f>
        <v>887976</v>
      </c>
      <c r="S42" s="318"/>
      <c r="T42" s="318"/>
      <c r="U42" s="318"/>
      <c r="V42" s="318"/>
      <c r="W42" s="318"/>
      <c r="X42" s="318"/>
      <c r="Y42" s="231" t="b">
        <f t="shared" si="11"/>
        <v>1</v>
      </c>
      <c r="Z42" s="317">
        <f t="shared" si="12"/>
        <v>0.8</v>
      </c>
      <c r="AA42" s="233" t="b">
        <f t="shared" si="13"/>
        <v>1</v>
      </c>
      <c r="AB42" s="233" t="b">
        <f t="shared" si="14"/>
        <v>1</v>
      </c>
      <c r="AD42" s="323"/>
    </row>
    <row r="43" spans="1:30" s="223" customFormat="1" ht="12.75">
      <c r="A43" s="175">
        <v>41</v>
      </c>
      <c r="B43" s="211" t="s">
        <v>375</v>
      </c>
      <c r="C43" s="211" t="s">
        <v>117</v>
      </c>
      <c r="D43" s="210" t="s">
        <v>376</v>
      </c>
      <c r="E43" s="308" t="s">
        <v>377</v>
      </c>
      <c r="F43" s="319" t="s">
        <v>222</v>
      </c>
      <c r="G43" s="224" t="s">
        <v>378</v>
      </c>
      <c r="H43" s="320" t="s">
        <v>42</v>
      </c>
      <c r="I43" s="321">
        <v>0.039</v>
      </c>
      <c r="J43" s="214" t="s">
        <v>154</v>
      </c>
      <c r="K43" s="216">
        <v>1677741</v>
      </c>
      <c r="L43" s="216">
        <v>838870.5</v>
      </c>
      <c r="M43" s="237">
        <f t="shared" si="10"/>
        <v>838870.5</v>
      </c>
      <c r="N43" s="217">
        <v>0.5</v>
      </c>
      <c r="O43" s="322"/>
      <c r="P43" s="322"/>
      <c r="Q43" s="318"/>
      <c r="R43" s="318">
        <v>838870.5</v>
      </c>
      <c r="S43" s="318"/>
      <c r="T43" s="318"/>
      <c r="U43" s="318"/>
      <c r="V43" s="318"/>
      <c r="W43" s="318"/>
      <c r="X43" s="318"/>
      <c r="Y43" s="231" t="b">
        <f t="shared" si="11"/>
        <v>1</v>
      </c>
      <c r="Z43" s="317">
        <f t="shared" si="12"/>
        <v>0.5</v>
      </c>
      <c r="AA43" s="233" t="b">
        <f t="shared" si="13"/>
        <v>1</v>
      </c>
      <c r="AB43" s="233" t="b">
        <f t="shared" si="14"/>
        <v>1</v>
      </c>
      <c r="AD43" s="323"/>
    </row>
    <row r="44" spans="1:30" s="223" customFormat="1" ht="12.75">
      <c r="A44" s="175">
        <v>42</v>
      </c>
      <c r="B44" s="211" t="s">
        <v>379</v>
      </c>
      <c r="C44" s="211" t="s">
        <v>117</v>
      </c>
      <c r="D44" s="210" t="s">
        <v>380</v>
      </c>
      <c r="E44" s="308" t="s">
        <v>381</v>
      </c>
      <c r="F44" s="319" t="s">
        <v>210</v>
      </c>
      <c r="G44" s="224" t="s">
        <v>382</v>
      </c>
      <c r="H44" s="320" t="s">
        <v>42</v>
      </c>
      <c r="I44" s="321">
        <v>2</v>
      </c>
      <c r="J44" s="214" t="s">
        <v>383</v>
      </c>
      <c r="K44" s="216">
        <v>3824160</v>
      </c>
      <c r="L44" s="216">
        <v>1912080</v>
      </c>
      <c r="M44" s="237">
        <f t="shared" si="10"/>
        <v>1912080</v>
      </c>
      <c r="N44" s="217">
        <v>0.5</v>
      </c>
      <c r="O44" s="322"/>
      <c r="P44" s="322"/>
      <c r="Q44" s="318"/>
      <c r="R44" s="318">
        <v>1912080</v>
      </c>
      <c r="S44" s="318"/>
      <c r="T44" s="318"/>
      <c r="U44" s="318"/>
      <c r="V44" s="318"/>
      <c r="W44" s="318"/>
      <c r="X44" s="318"/>
      <c r="Y44" s="231" t="b">
        <f t="shared" si="11"/>
        <v>1</v>
      </c>
      <c r="Z44" s="317">
        <f t="shared" si="12"/>
        <v>0.5</v>
      </c>
      <c r="AA44" s="233" t="b">
        <f t="shared" si="13"/>
        <v>1</v>
      </c>
      <c r="AB44" s="233" t="b">
        <f t="shared" si="14"/>
        <v>1</v>
      </c>
      <c r="AD44" s="323"/>
    </row>
    <row r="45" spans="1:28" s="326" customFormat="1" ht="12.75">
      <c r="A45" s="175">
        <v>43</v>
      </c>
      <c r="B45" s="211" t="s">
        <v>384</v>
      </c>
      <c r="C45" s="211" t="s">
        <v>117</v>
      </c>
      <c r="D45" s="210" t="s">
        <v>226</v>
      </c>
      <c r="E45" s="308" t="s">
        <v>227</v>
      </c>
      <c r="F45" s="211" t="s">
        <v>228</v>
      </c>
      <c r="G45" s="224" t="s">
        <v>385</v>
      </c>
      <c r="H45" s="206" t="s">
        <v>59</v>
      </c>
      <c r="I45" s="321">
        <v>0.64</v>
      </c>
      <c r="J45" s="214" t="s">
        <v>317</v>
      </c>
      <c r="K45" s="216">
        <v>2450020</v>
      </c>
      <c r="L45" s="216">
        <v>1225010</v>
      </c>
      <c r="M45" s="237">
        <f t="shared" si="10"/>
        <v>1225010</v>
      </c>
      <c r="N45" s="217">
        <v>0.5</v>
      </c>
      <c r="O45" s="322"/>
      <c r="P45" s="322"/>
      <c r="Q45" s="318"/>
      <c r="R45" s="318">
        <v>1225010</v>
      </c>
      <c r="S45" s="318"/>
      <c r="T45" s="318"/>
      <c r="U45" s="318"/>
      <c r="V45" s="318"/>
      <c r="W45" s="318"/>
      <c r="X45" s="318"/>
      <c r="Y45" s="231" t="b">
        <f t="shared" si="11"/>
        <v>1</v>
      </c>
      <c r="Z45" s="317">
        <f t="shared" si="12"/>
        <v>0.5</v>
      </c>
      <c r="AA45" s="233" t="b">
        <f t="shared" si="13"/>
        <v>1</v>
      </c>
      <c r="AB45" s="233" t="b">
        <f t="shared" si="14"/>
        <v>1</v>
      </c>
    </row>
    <row r="46" spans="1:30" s="223" customFormat="1" ht="12.75">
      <c r="A46" s="175">
        <v>44</v>
      </c>
      <c r="B46" s="211" t="s">
        <v>386</v>
      </c>
      <c r="C46" s="211" t="s">
        <v>117</v>
      </c>
      <c r="D46" s="210" t="s">
        <v>362</v>
      </c>
      <c r="E46" s="308">
        <v>2406072</v>
      </c>
      <c r="F46" s="319" t="s">
        <v>186</v>
      </c>
      <c r="G46" s="224" t="s">
        <v>387</v>
      </c>
      <c r="H46" s="320" t="s">
        <v>59</v>
      </c>
      <c r="I46" s="321">
        <v>0.361</v>
      </c>
      <c r="J46" s="214" t="s">
        <v>388</v>
      </c>
      <c r="K46" s="216">
        <v>978430</v>
      </c>
      <c r="L46" s="216">
        <v>489215</v>
      </c>
      <c r="M46" s="237">
        <f t="shared" si="10"/>
        <v>489215</v>
      </c>
      <c r="N46" s="217">
        <v>0.5</v>
      </c>
      <c r="O46" s="322"/>
      <c r="P46" s="322"/>
      <c r="Q46" s="318"/>
      <c r="R46" s="318">
        <v>489215</v>
      </c>
      <c r="S46" s="318"/>
      <c r="T46" s="318"/>
      <c r="U46" s="318"/>
      <c r="V46" s="318"/>
      <c r="W46" s="318"/>
      <c r="X46" s="318"/>
      <c r="Y46" s="231" t="b">
        <f t="shared" si="11"/>
        <v>1</v>
      </c>
      <c r="Z46" s="317">
        <f t="shared" si="12"/>
        <v>0.5</v>
      </c>
      <c r="AA46" s="233" t="b">
        <f t="shared" si="13"/>
        <v>1</v>
      </c>
      <c r="AB46" s="233" t="b">
        <f t="shared" si="14"/>
        <v>1</v>
      </c>
      <c r="AD46" s="323"/>
    </row>
    <row r="47" spans="1:30" s="223" customFormat="1" ht="12.75">
      <c r="A47" s="175">
        <v>45</v>
      </c>
      <c r="B47" s="211" t="s">
        <v>389</v>
      </c>
      <c r="C47" s="211" t="s">
        <v>117</v>
      </c>
      <c r="D47" s="210" t="s">
        <v>390</v>
      </c>
      <c r="E47" s="308" t="s">
        <v>391</v>
      </c>
      <c r="F47" s="319" t="s">
        <v>222</v>
      </c>
      <c r="G47" s="224" t="s">
        <v>392</v>
      </c>
      <c r="H47" s="320" t="s">
        <v>42</v>
      </c>
      <c r="I47" s="321">
        <v>1.601</v>
      </c>
      <c r="J47" s="214" t="s">
        <v>154</v>
      </c>
      <c r="K47" s="216">
        <v>1773988</v>
      </c>
      <c r="L47" s="216">
        <v>975693.4</v>
      </c>
      <c r="M47" s="237">
        <f t="shared" si="10"/>
        <v>798294.6</v>
      </c>
      <c r="N47" s="217">
        <v>0.55</v>
      </c>
      <c r="O47" s="322"/>
      <c r="P47" s="322"/>
      <c r="Q47" s="318"/>
      <c r="R47" s="318">
        <v>975693.4</v>
      </c>
      <c r="S47" s="318"/>
      <c r="T47" s="318"/>
      <c r="U47" s="318"/>
      <c r="V47" s="318"/>
      <c r="W47" s="318"/>
      <c r="X47" s="318"/>
      <c r="Y47" s="231" t="b">
        <f t="shared" si="11"/>
        <v>1</v>
      </c>
      <c r="Z47" s="317">
        <f t="shared" si="12"/>
        <v>0.55</v>
      </c>
      <c r="AA47" s="233" t="b">
        <f t="shared" si="13"/>
        <v>1</v>
      </c>
      <c r="AB47" s="233" t="b">
        <f t="shared" si="14"/>
        <v>1</v>
      </c>
      <c r="AD47" s="323"/>
    </row>
    <row r="48" spans="1:30" s="223" customFormat="1" ht="12.75">
      <c r="A48" s="175">
        <v>46</v>
      </c>
      <c r="B48" s="211" t="s">
        <v>393</v>
      </c>
      <c r="C48" s="211" t="s">
        <v>117</v>
      </c>
      <c r="D48" s="210" t="s">
        <v>366</v>
      </c>
      <c r="E48" s="308" t="s">
        <v>367</v>
      </c>
      <c r="F48" s="319" t="s">
        <v>222</v>
      </c>
      <c r="G48" s="224" t="s">
        <v>394</v>
      </c>
      <c r="H48" s="320" t="s">
        <v>42</v>
      </c>
      <c r="I48" s="321">
        <v>0.855</v>
      </c>
      <c r="J48" s="214" t="s">
        <v>369</v>
      </c>
      <c r="K48" s="216">
        <v>752780</v>
      </c>
      <c r="L48" s="216">
        <v>376390</v>
      </c>
      <c r="M48" s="237">
        <f t="shared" si="10"/>
        <v>376390</v>
      </c>
      <c r="N48" s="217">
        <v>0.5</v>
      </c>
      <c r="O48" s="322"/>
      <c r="P48" s="322"/>
      <c r="Q48" s="318"/>
      <c r="R48" s="318">
        <v>376390</v>
      </c>
      <c r="S48" s="318"/>
      <c r="T48" s="318"/>
      <c r="U48" s="318"/>
      <c r="V48" s="318"/>
      <c r="W48" s="318"/>
      <c r="X48" s="318"/>
      <c r="Y48" s="231" t="b">
        <f t="shared" si="11"/>
        <v>1</v>
      </c>
      <c r="Z48" s="317">
        <f t="shared" si="12"/>
        <v>0.5</v>
      </c>
      <c r="AA48" s="233" t="b">
        <f t="shared" si="13"/>
        <v>1</v>
      </c>
      <c r="AB48" s="233" t="b">
        <f t="shared" si="14"/>
        <v>1</v>
      </c>
      <c r="AD48" s="323"/>
    </row>
    <row r="49" spans="1:30" s="223" customFormat="1" ht="12.75">
      <c r="A49" s="175">
        <v>47</v>
      </c>
      <c r="B49" s="211" t="s">
        <v>395</v>
      </c>
      <c r="C49" s="211" t="s">
        <v>117</v>
      </c>
      <c r="D49" s="210" t="s">
        <v>396</v>
      </c>
      <c r="E49" s="308" t="s">
        <v>397</v>
      </c>
      <c r="F49" s="319" t="s">
        <v>222</v>
      </c>
      <c r="G49" s="224" t="s">
        <v>398</v>
      </c>
      <c r="H49" s="320" t="s">
        <v>42</v>
      </c>
      <c r="I49" s="321">
        <v>0.576</v>
      </c>
      <c r="J49" s="214" t="s">
        <v>399</v>
      </c>
      <c r="K49" s="216">
        <v>1620986</v>
      </c>
      <c r="L49" s="216">
        <v>810493</v>
      </c>
      <c r="M49" s="237">
        <f t="shared" si="10"/>
        <v>810493</v>
      </c>
      <c r="N49" s="217">
        <v>0.5</v>
      </c>
      <c r="O49" s="322"/>
      <c r="P49" s="322"/>
      <c r="Q49" s="318"/>
      <c r="R49" s="318">
        <v>810493</v>
      </c>
      <c r="S49" s="318"/>
      <c r="T49" s="318"/>
      <c r="U49" s="318"/>
      <c r="V49" s="318"/>
      <c r="W49" s="318"/>
      <c r="X49" s="318"/>
      <c r="Y49" s="231" t="b">
        <f t="shared" si="11"/>
        <v>1</v>
      </c>
      <c r="Z49" s="317">
        <f t="shared" si="12"/>
        <v>0.5</v>
      </c>
      <c r="AA49" s="233" t="b">
        <f t="shared" si="13"/>
        <v>1</v>
      </c>
      <c r="AB49" s="233" t="b">
        <f t="shared" si="14"/>
        <v>1</v>
      </c>
      <c r="AD49" s="323"/>
    </row>
    <row r="50" spans="1:30" s="223" customFormat="1" ht="12.75">
      <c r="A50" s="175">
        <v>48</v>
      </c>
      <c r="B50" s="211" t="s">
        <v>400</v>
      </c>
      <c r="C50" s="211" t="s">
        <v>117</v>
      </c>
      <c r="D50" s="210" t="s">
        <v>401</v>
      </c>
      <c r="E50" s="308" t="s">
        <v>402</v>
      </c>
      <c r="F50" s="319" t="s">
        <v>222</v>
      </c>
      <c r="G50" s="224" t="s">
        <v>403</v>
      </c>
      <c r="H50" s="320" t="s">
        <v>87</v>
      </c>
      <c r="I50" s="321">
        <v>0.998</v>
      </c>
      <c r="J50" s="214" t="s">
        <v>347</v>
      </c>
      <c r="K50" s="216">
        <v>806448</v>
      </c>
      <c r="L50" s="216">
        <v>403224</v>
      </c>
      <c r="M50" s="237">
        <f t="shared" si="10"/>
        <v>403224</v>
      </c>
      <c r="N50" s="217">
        <v>0.5</v>
      </c>
      <c r="O50" s="322"/>
      <c r="P50" s="322"/>
      <c r="Q50" s="318"/>
      <c r="R50" s="318">
        <v>403224</v>
      </c>
      <c r="S50" s="318"/>
      <c r="T50" s="318"/>
      <c r="U50" s="318"/>
      <c r="V50" s="318"/>
      <c r="W50" s="318"/>
      <c r="X50" s="318"/>
      <c r="Y50" s="231" t="b">
        <f t="shared" si="11"/>
        <v>1</v>
      </c>
      <c r="Z50" s="317">
        <f t="shared" si="12"/>
        <v>0.5</v>
      </c>
      <c r="AA50" s="233" t="b">
        <f t="shared" si="13"/>
        <v>1</v>
      </c>
      <c r="AB50" s="233" t="b">
        <f t="shared" si="14"/>
        <v>1</v>
      </c>
      <c r="AD50" s="323"/>
    </row>
    <row r="51" spans="1:30" s="223" customFormat="1" ht="12.75">
      <c r="A51" s="175">
        <v>49</v>
      </c>
      <c r="B51" s="211" t="s">
        <v>404</v>
      </c>
      <c r="C51" s="211" t="s">
        <v>117</v>
      </c>
      <c r="D51" s="210" t="s">
        <v>405</v>
      </c>
      <c r="E51" s="308" t="s">
        <v>406</v>
      </c>
      <c r="F51" s="319" t="s">
        <v>222</v>
      </c>
      <c r="G51" s="224" t="s">
        <v>407</v>
      </c>
      <c r="H51" s="320" t="s">
        <v>42</v>
      </c>
      <c r="I51" s="321">
        <v>0.285</v>
      </c>
      <c r="J51" s="214" t="s">
        <v>146</v>
      </c>
      <c r="K51" s="216">
        <v>359583</v>
      </c>
      <c r="L51" s="216">
        <v>179791.5</v>
      </c>
      <c r="M51" s="237">
        <f t="shared" si="10"/>
        <v>179791.5</v>
      </c>
      <c r="N51" s="217">
        <v>0.5</v>
      </c>
      <c r="O51" s="322"/>
      <c r="P51" s="322"/>
      <c r="Q51" s="318"/>
      <c r="R51" s="318">
        <v>179791.5</v>
      </c>
      <c r="S51" s="318"/>
      <c r="T51" s="318"/>
      <c r="U51" s="318"/>
      <c r="V51" s="318"/>
      <c r="W51" s="318"/>
      <c r="X51" s="318"/>
      <c r="Y51" s="231" t="b">
        <f t="shared" si="11"/>
        <v>1</v>
      </c>
      <c r="Z51" s="317">
        <f t="shared" si="12"/>
        <v>0.5</v>
      </c>
      <c r="AA51" s="233" t="b">
        <f t="shared" si="13"/>
        <v>1</v>
      </c>
      <c r="AB51" s="233" t="b">
        <f t="shared" si="14"/>
        <v>1</v>
      </c>
      <c r="AD51" s="323"/>
    </row>
    <row r="52" spans="1:28" s="326" customFormat="1" ht="12.75">
      <c r="A52" s="175">
        <v>50</v>
      </c>
      <c r="B52" s="211" t="s">
        <v>408</v>
      </c>
      <c r="C52" s="211" t="s">
        <v>117</v>
      </c>
      <c r="D52" s="210" t="s">
        <v>409</v>
      </c>
      <c r="E52" s="308" t="s">
        <v>410</v>
      </c>
      <c r="F52" s="211" t="s">
        <v>411</v>
      </c>
      <c r="G52" s="224" t="s">
        <v>412</v>
      </c>
      <c r="H52" s="206" t="s">
        <v>42</v>
      </c>
      <c r="I52" s="321">
        <v>0.217</v>
      </c>
      <c r="J52" s="214" t="s">
        <v>337</v>
      </c>
      <c r="K52" s="216">
        <v>623617</v>
      </c>
      <c r="L52" s="216">
        <v>311808.5</v>
      </c>
      <c r="M52" s="237">
        <f t="shared" si="10"/>
        <v>311808.5</v>
      </c>
      <c r="N52" s="217">
        <v>0.5</v>
      </c>
      <c r="O52" s="322"/>
      <c r="P52" s="322"/>
      <c r="Q52" s="318"/>
      <c r="R52" s="318">
        <v>311808.5</v>
      </c>
      <c r="S52" s="318"/>
      <c r="T52" s="318"/>
      <c r="U52" s="318"/>
      <c r="V52" s="318"/>
      <c r="W52" s="318"/>
      <c r="X52" s="318"/>
      <c r="Y52" s="231" t="b">
        <f t="shared" si="11"/>
        <v>1</v>
      </c>
      <c r="Z52" s="317">
        <f t="shared" si="12"/>
        <v>0.5</v>
      </c>
      <c r="AA52" s="233" t="b">
        <f t="shared" si="13"/>
        <v>1</v>
      </c>
      <c r="AB52" s="233" t="b">
        <f t="shared" si="14"/>
        <v>1</v>
      </c>
    </row>
    <row r="53" spans="1:30" s="223" customFormat="1" ht="12.75">
      <c r="A53" s="175">
        <v>51</v>
      </c>
      <c r="B53" s="211" t="s">
        <v>413</v>
      </c>
      <c r="C53" s="211" t="s">
        <v>117</v>
      </c>
      <c r="D53" s="210" t="s">
        <v>414</v>
      </c>
      <c r="E53" s="308" t="s">
        <v>415</v>
      </c>
      <c r="F53" s="319" t="s">
        <v>186</v>
      </c>
      <c r="G53" s="224" t="s">
        <v>416</v>
      </c>
      <c r="H53" s="320" t="s">
        <v>87</v>
      </c>
      <c r="I53" s="321">
        <v>0.838</v>
      </c>
      <c r="J53" s="214" t="s">
        <v>388</v>
      </c>
      <c r="K53" s="216">
        <v>432984</v>
      </c>
      <c r="L53" s="216">
        <v>216492</v>
      </c>
      <c r="M53" s="237">
        <f t="shared" si="10"/>
        <v>216492</v>
      </c>
      <c r="N53" s="217">
        <v>0.5</v>
      </c>
      <c r="O53" s="322"/>
      <c r="P53" s="322"/>
      <c r="Q53" s="318"/>
      <c r="R53" s="318">
        <v>216492</v>
      </c>
      <c r="S53" s="318"/>
      <c r="T53" s="318"/>
      <c r="U53" s="318"/>
      <c r="V53" s="318"/>
      <c r="W53" s="318"/>
      <c r="X53" s="318"/>
      <c r="Y53" s="231" t="b">
        <f t="shared" si="11"/>
        <v>1</v>
      </c>
      <c r="Z53" s="317">
        <f t="shared" si="12"/>
        <v>0.5</v>
      </c>
      <c r="AA53" s="233" t="b">
        <f t="shared" si="13"/>
        <v>1</v>
      </c>
      <c r="AB53" s="233" t="b">
        <f t="shared" si="14"/>
        <v>1</v>
      </c>
      <c r="AD53" s="323"/>
    </row>
    <row r="54" spans="1:30" s="223" customFormat="1" ht="12.75">
      <c r="A54" s="175">
        <v>52</v>
      </c>
      <c r="B54" s="211" t="s">
        <v>417</v>
      </c>
      <c r="C54" s="211" t="s">
        <v>117</v>
      </c>
      <c r="D54" s="210" t="s">
        <v>418</v>
      </c>
      <c r="E54" s="308" t="s">
        <v>419</v>
      </c>
      <c r="F54" s="319" t="s">
        <v>222</v>
      </c>
      <c r="G54" s="224" t="s">
        <v>420</v>
      </c>
      <c r="H54" s="320" t="s">
        <v>42</v>
      </c>
      <c r="I54" s="321">
        <v>0.755</v>
      </c>
      <c r="J54" s="214" t="s">
        <v>146</v>
      </c>
      <c r="K54" s="216">
        <v>1961667</v>
      </c>
      <c r="L54" s="216">
        <f>ROUNDDOWN(K54*N54,2)</f>
        <v>1569333.6</v>
      </c>
      <c r="M54" s="237">
        <f>K54-L54</f>
        <v>392333.3999999999</v>
      </c>
      <c r="N54" s="217">
        <v>0.8</v>
      </c>
      <c r="O54" s="322"/>
      <c r="P54" s="322"/>
      <c r="Q54" s="318"/>
      <c r="R54" s="318">
        <f>L54</f>
        <v>1569333.6</v>
      </c>
      <c r="S54" s="318"/>
      <c r="T54" s="318"/>
      <c r="U54" s="318"/>
      <c r="V54" s="318"/>
      <c r="W54" s="318"/>
      <c r="X54" s="318"/>
      <c r="Y54" s="231" t="b">
        <f t="shared" si="11"/>
        <v>1</v>
      </c>
      <c r="Z54" s="317">
        <f t="shared" si="12"/>
        <v>0.8</v>
      </c>
      <c r="AA54" s="233" t="b">
        <f t="shared" si="13"/>
        <v>1</v>
      </c>
      <c r="AB54" s="233" t="b">
        <f t="shared" si="14"/>
        <v>1</v>
      </c>
      <c r="AD54" s="323"/>
    </row>
    <row r="55" spans="1:30" s="223" customFormat="1" ht="12.75">
      <c r="A55" s="175">
        <v>53</v>
      </c>
      <c r="B55" s="211" t="s">
        <v>421</v>
      </c>
      <c r="C55" s="211" t="s">
        <v>117</v>
      </c>
      <c r="D55" s="210" t="s">
        <v>422</v>
      </c>
      <c r="E55" s="308" t="s">
        <v>423</v>
      </c>
      <c r="F55" s="319" t="s">
        <v>424</v>
      </c>
      <c r="G55" s="224" t="s">
        <v>425</v>
      </c>
      <c r="H55" s="320" t="s">
        <v>42</v>
      </c>
      <c r="I55" s="321">
        <v>0.35</v>
      </c>
      <c r="J55" s="214" t="s">
        <v>369</v>
      </c>
      <c r="K55" s="216">
        <v>4148729</v>
      </c>
      <c r="L55" s="216">
        <v>2074364.5</v>
      </c>
      <c r="M55" s="237">
        <f t="shared" si="10"/>
        <v>2074364.5</v>
      </c>
      <c r="N55" s="217">
        <v>0.5</v>
      </c>
      <c r="O55" s="322"/>
      <c r="P55" s="322"/>
      <c r="Q55" s="318"/>
      <c r="R55" s="318">
        <v>2074364.5</v>
      </c>
      <c r="S55" s="318"/>
      <c r="T55" s="318"/>
      <c r="U55" s="318"/>
      <c r="V55" s="318"/>
      <c r="W55" s="318"/>
      <c r="X55" s="318"/>
      <c r="Y55" s="231" t="b">
        <f t="shared" si="11"/>
        <v>1</v>
      </c>
      <c r="Z55" s="317">
        <f t="shared" si="12"/>
        <v>0.5</v>
      </c>
      <c r="AA55" s="233" t="b">
        <f t="shared" si="13"/>
        <v>1</v>
      </c>
      <c r="AB55" s="233" t="b">
        <f t="shared" si="14"/>
        <v>1</v>
      </c>
      <c r="AD55" s="323"/>
    </row>
    <row r="56" spans="1:30" s="205" customFormat="1" ht="12.75">
      <c r="A56" s="175">
        <v>54</v>
      </c>
      <c r="B56" s="175" t="s">
        <v>426</v>
      </c>
      <c r="C56" s="175" t="s">
        <v>110</v>
      </c>
      <c r="D56" s="204" t="s">
        <v>254</v>
      </c>
      <c r="E56" s="313" t="s">
        <v>255</v>
      </c>
      <c r="F56" s="301" t="s">
        <v>256</v>
      </c>
      <c r="G56" s="177" t="s">
        <v>427</v>
      </c>
      <c r="H56" s="324" t="s">
        <v>42</v>
      </c>
      <c r="I56" s="198">
        <v>1.3</v>
      </c>
      <c r="J56" s="199" t="s">
        <v>428</v>
      </c>
      <c r="K56" s="179">
        <v>16260600</v>
      </c>
      <c r="L56" s="179">
        <v>8130300</v>
      </c>
      <c r="M56" s="180">
        <f t="shared" si="10"/>
        <v>8130300</v>
      </c>
      <c r="N56" s="181">
        <v>0.5</v>
      </c>
      <c r="O56" s="315"/>
      <c r="P56" s="315"/>
      <c r="Q56" s="316"/>
      <c r="R56" s="316">
        <v>2750000</v>
      </c>
      <c r="S56" s="316">
        <v>5380300</v>
      </c>
      <c r="T56" s="316"/>
      <c r="U56" s="316"/>
      <c r="V56" s="316"/>
      <c r="W56" s="316"/>
      <c r="X56" s="316"/>
      <c r="Y56" s="231" t="b">
        <f t="shared" si="11"/>
        <v>1</v>
      </c>
      <c r="Z56" s="317">
        <f t="shared" si="12"/>
        <v>0.5</v>
      </c>
      <c r="AA56" s="233" t="b">
        <f t="shared" si="13"/>
        <v>1</v>
      </c>
      <c r="AB56" s="233" t="b">
        <f t="shared" si="14"/>
        <v>1</v>
      </c>
      <c r="AD56" s="325"/>
    </row>
    <row r="57" spans="1:30" s="223" customFormat="1" ht="12.75">
      <c r="A57" s="175">
        <v>55</v>
      </c>
      <c r="B57" s="211" t="s">
        <v>429</v>
      </c>
      <c r="C57" s="211" t="s">
        <v>117</v>
      </c>
      <c r="D57" s="210" t="s">
        <v>430</v>
      </c>
      <c r="E57" s="308" t="s">
        <v>431</v>
      </c>
      <c r="F57" s="319" t="s">
        <v>240</v>
      </c>
      <c r="G57" s="224" t="s">
        <v>432</v>
      </c>
      <c r="H57" s="320" t="s">
        <v>87</v>
      </c>
      <c r="I57" s="321">
        <v>0.475</v>
      </c>
      <c r="J57" s="214" t="s">
        <v>312</v>
      </c>
      <c r="K57" s="216">
        <v>1299999</v>
      </c>
      <c r="L57" s="216">
        <v>649999.5</v>
      </c>
      <c r="M57" s="237">
        <f t="shared" si="10"/>
        <v>649999.5</v>
      </c>
      <c r="N57" s="217">
        <v>0.5</v>
      </c>
      <c r="O57" s="322"/>
      <c r="P57" s="322"/>
      <c r="Q57" s="318"/>
      <c r="R57" s="318">
        <v>649999.5</v>
      </c>
      <c r="S57" s="318"/>
      <c r="T57" s="318"/>
      <c r="U57" s="318"/>
      <c r="V57" s="318"/>
      <c r="W57" s="318"/>
      <c r="X57" s="318"/>
      <c r="Y57" s="231" t="b">
        <f t="shared" si="11"/>
        <v>1</v>
      </c>
      <c r="Z57" s="317">
        <f t="shared" si="12"/>
        <v>0.5</v>
      </c>
      <c r="AA57" s="233" t="b">
        <f t="shared" si="13"/>
        <v>1</v>
      </c>
      <c r="AB57" s="233" t="b">
        <f t="shared" si="14"/>
        <v>1</v>
      </c>
      <c r="AD57" s="323"/>
    </row>
    <row r="58" spans="1:30" s="223" customFormat="1" ht="12.75">
      <c r="A58" s="175">
        <v>56</v>
      </c>
      <c r="B58" s="211" t="s">
        <v>433</v>
      </c>
      <c r="C58" s="211" t="s">
        <v>117</v>
      </c>
      <c r="D58" s="210" t="s">
        <v>434</v>
      </c>
      <c r="E58" s="308" t="s">
        <v>435</v>
      </c>
      <c r="F58" s="319" t="s">
        <v>424</v>
      </c>
      <c r="G58" s="224" t="s">
        <v>436</v>
      </c>
      <c r="H58" s="320" t="s">
        <v>87</v>
      </c>
      <c r="I58" s="321">
        <v>0.53</v>
      </c>
      <c r="J58" s="214" t="s">
        <v>374</v>
      </c>
      <c r="K58" s="216">
        <v>216007</v>
      </c>
      <c r="L58" s="216">
        <v>108003.5</v>
      </c>
      <c r="M58" s="237">
        <f t="shared" si="10"/>
        <v>108003.5</v>
      </c>
      <c r="N58" s="217">
        <v>0.5</v>
      </c>
      <c r="O58" s="322"/>
      <c r="P58" s="322"/>
      <c r="Q58" s="318"/>
      <c r="R58" s="318">
        <v>108003.5</v>
      </c>
      <c r="S58" s="318"/>
      <c r="T58" s="318"/>
      <c r="U58" s="318"/>
      <c r="V58" s="318"/>
      <c r="W58" s="318"/>
      <c r="X58" s="318"/>
      <c r="Y58" s="231" t="b">
        <f t="shared" si="11"/>
        <v>1</v>
      </c>
      <c r="Z58" s="317">
        <f t="shared" si="12"/>
        <v>0.5</v>
      </c>
      <c r="AA58" s="233" t="b">
        <f t="shared" si="13"/>
        <v>1</v>
      </c>
      <c r="AB58" s="233" t="b">
        <f t="shared" si="14"/>
        <v>1</v>
      </c>
      <c r="AD58" s="323"/>
    </row>
    <row r="59" spans="1:30" s="223" customFormat="1" ht="12.75">
      <c r="A59" s="175">
        <v>57</v>
      </c>
      <c r="B59" s="211" t="s">
        <v>437</v>
      </c>
      <c r="C59" s="211" t="s">
        <v>117</v>
      </c>
      <c r="D59" s="210" t="s">
        <v>434</v>
      </c>
      <c r="E59" s="308" t="s">
        <v>435</v>
      </c>
      <c r="F59" s="319" t="s">
        <v>424</v>
      </c>
      <c r="G59" s="224" t="s">
        <v>438</v>
      </c>
      <c r="H59" s="320" t="s">
        <v>87</v>
      </c>
      <c r="I59" s="321">
        <v>0.502</v>
      </c>
      <c r="J59" s="214" t="s">
        <v>374</v>
      </c>
      <c r="K59" s="216">
        <v>235133</v>
      </c>
      <c r="L59" s="216">
        <v>117566.5</v>
      </c>
      <c r="M59" s="237">
        <f t="shared" si="10"/>
        <v>117566.5</v>
      </c>
      <c r="N59" s="217">
        <v>0.5</v>
      </c>
      <c r="O59" s="322"/>
      <c r="P59" s="322"/>
      <c r="Q59" s="318"/>
      <c r="R59" s="318">
        <v>117566.5</v>
      </c>
      <c r="S59" s="318"/>
      <c r="T59" s="318"/>
      <c r="U59" s="318"/>
      <c r="V59" s="318"/>
      <c r="W59" s="318"/>
      <c r="X59" s="318"/>
      <c r="Y59" s="231" t="b">
        <f t="shared" si="11"/>
        <v>1</v>
      </c>
      <c r="Z59" s="317">
        <f t="shared" si="12"/>
        <v>0.5</v>
      </c>
      <c r="AA59" s="233" t="b">
        <f t="shared" si="13"/>
        <v>1</v>
      </c>
      <c r="AB59" s="233" t="b">
        <f t="shared" si="14"/>
        <v>1</v>
      </c>
      <c r="AD59" s="323"/>
    </row>
    <row r="60" spans="1:30" s="223" customFormat="1" ht="12.75">
      <c r="A60" s="175">
        <v>58</v>
      </c>
      <c r="B60" s="211" t="s">
        <v>439</v>
      </c>
      <c r="C60" s="211" t="s">
        <v>117</v>
      </c>
      <c r="D60" s="210" t="s">
        <v>430</v>
      </c>
      <c r="E60" s="308" t="s">
        <v>431</v>
      </c>
      <c r="F60" s="319" t="s">
        <v>240</v>
      </c>
      <c r="G60" s="224" t="s">
        <v>440</v>
      </c>
      <c r="H60" s="320" t="s">
        <v>87</v>
      </c>
      <c r="I60" s="321">
        <v>0.282</v>
      </c>
      <c r="J60" s="214" t="s">
        <v>312</v>
      </c>
      <c r="K60" s="216">
        <v>870500</v>
      </c>
      <c r="L60" s="216">
        <v>435250</v>
      </c>
      <c r="M60" s="237">
        <f t="shared" si="10"/>
        <v>435250</v>
      </c>
      <c r="N60" s="217">
        <v>0.5</v>
      </c>
      <c r="O60" s="322"/>
      <c r="P60" s="322"/>
      <c r="Q60" s="318"/>
      <c r="R60" s="318">
        <v>435250</v>
      </c>
      <c r="S60" s="318"/>
      <c r="T60" s="318"/>
      <c r="U60" s="318"/>
      <c r="V60" s="318"/>
      <c r="W60" s="318"/>
      <c r="X60" s="318"/>
      <c r="Y60" s="231" t="b">
        <f t="shared" si="11"/>
        <v>1</v>
      </c>
      <c r="Z60" s="317">
        <f t="shared" si="12"/>
        <v>0.5</v>
      </c>
      <c r="AA60" s="233" t="b">
        <f t="shared" si="13"/>
        <v>1</v>
      </c>
      <c r="AB60" s="233" t="b">
        <f t="shared" si="14"/>
        <v>1</v>
      </c>
      <c r="AD60" s="323"/>
    </row>
    <row r="61" spans="1:30" s="205" customFormat="1" ht="12.75">
      <c r="A61" s="175">
        <v>59</v>
      </c>
      <c r="B61" s="175" t="s">
        <v>441</v>
      </c>
      <c r="C61" s="175" t="s">
        <v>110</v>
      </c>
      <c r="D61" s="204" t="s">
        <v>442</v>
      </c>
      <c r="E61" s="313" t="s">
        <v>239</v>
      </c>
      <c r="F61" s="301" t="s">
        <v>240</v>
      </c>
      <c r="G61" s="177" t="s">
        <v>443</v>
      </c>
      <c r="H61" s="324" t="s">
        <v>59</v>
      </c>
      <c r="I61" s="198">
        <v>0.632</v>
      </c>
      <c r="J61" s="199" t="s">
        <v>364</v>
      </c>
      <c r="K61" s="179">
        <v>4263981</v>
      </c>
      <c r="L61" s="179">
        <v>2131990.5</v>
      </c>
      <c r="M61" s="180">
        <f t="shared" si="10"/>
        <v>2131990.5</v>
      </c>
      <c r="N61" s="181">
        <v>0.5</v>
      </c>
      <c r="O61" s="315"/>
      <c r="P61" s="315"/>
      <c r="Q61" s="316"/>
      <c r="R61" s="316">
        <v>1595042</v>
      </c>
      <c r="S61" s="316">
        <v>536948.5</v>
      </c>
      <c r="T61" s="316"/>
      <c r="U61" s="316"/>
      <c r="V61" s="316"/>
      <c r="W61" s="316"/>
      <c r="X61" s="316"/>
      <c r="Y61" s="231" t="b">
        <f t="shared" si="11"/>
        <v>1</v>
      </c>
      <c r="Z61" s="317">
        <f t="shared" si="12"/>
        <v>0.5</v>
      </c>
      <c r="AA61" s="233" t="b">
        <f t="shared" si="13"/>
        <v>1</v>
      </c>
      <c r="AB61" s="233" t="b">
        <f t="shared" si="14"/>
        <v>1</v>
      </c>
      <c r="AD61" s="325"/>
    </row>
    <row r="62" spans="1:28" s="327" customFormat="1" ht="15" customHeight="1">
      <c r="A62" s="175">
        <v>60</v>
      </c>
      <c r="B62" s="175" t="s">
        <v>444</v>
      </c>
      <c r="C62" s="175" t="s">
        <v>110</v>
      </c>
      <c r="D62" s="204" t="s">
        <v>262</v>
      </c>
      <c r="E62" s="313" t="s">
        <v>263</v>
      </c>
      <c r="F62" s="175" t="s">
        <v>240</v>
      </c>
      <c r="G62" s="177" t="s">
        <v>445</v>
      </c>
      <c r="H62" s="174" t="s">
        <v>42</v>
      </c>
      <c r="I62" s="198">
        <v>0.647</v>
      </c>
      <c r="J62" s="199" t="s">
        <v>446</v>
      </c>
      <c r="K62" s="179">
        <v>3046084</v>
      </c>
      <c r="L62" s="179">
        <v>1523042</v>
      </c>
      <c r="M62" s="180">
        <f t="shared" si="10"/>
        <v>1523042</v>
      </c>
      <c r="N62" s="181">
        <v>0.5</v>
      </c>
      <c r="O62" s="315"/>
      <c r="P62" s="315"/>
      <c r="Q62" s="316"/>
      <c r="R62" s="316">
        <v>761521</v>
      </c>
      <c r="S62" s="316">
        <v>761521</v>
      </c>
      <c r="T62" s="316"/>
      <c r="U62" s="316"/>
      <c r="V62" s="316"/>
      <c r="W62" s="316"/>
      <c r="X62" s="316"/>
      <c r="Y62" s="231" t="b">
        <f>L62=SUM(O62:X62)</f>
        <v>1</v>
      </c>
      <c r="Z62" s="317">
        <f>ROUND(L62/K62,4)</f>
        <v>0.5</v>
      </c>
      <c r="AA62" s="233" t="b">
        <f>Z62=N62</f>
        <v>1</v>
      </c>
      <c r="AB62" s="233" t="b">
        <f>K62=L62+M62</f>
        <v>1</v>
      </c>
    </row>
    <row r="63" spans="1:28" s="326" customFormat="1" ht="12.75">
      <c r="A63" s="175">
        <v>61</v>
      </c>
      <c r="B63" s="211" t="s">
        <v>447</v>
      </c>
      <c r="C63" s="211" t="s">
        <v>117</v>
      </c>
      <c r="D63" s="210" t="s">
        <v>448</v>
      </c>
      <c r="E63" s="308" t="s">
        <v>449</v>
      </c>
      <c r="F63" s="211" t="s">
        <v>240</v>
      </c>
      <c r="G63" s="224" t="s">
        <v>450</v>
      </c>
      <c r="H63" s="206" t="s">
        <v>42</v>
      </c>
      <c r="I63" s="321">
        <v>0.209</v>
      </c>
      <c r="J63" s="214" t="s">
        <v>120</v>
      </c>
      <c r="K63" s="216">
        <v>1003472</v>
      </c>
      <c r="L63" s="216">
        <v>501736</v>
      </c>
      <c r="M63" s="237">
        <f>K63-L63</f>
        <v>501736</v>
      </c>
      <c r="N63" s="217">
        <v>0.5</v>
      </c>
      <c r="O63" s="322"/>
      <c r="P63" s="322"/>
      <c r="Q63" s="318"/>
      <c r="R63" s="318">
        <v>501736</v>
      </c>
      <c r="S63" s="318"/>
      <c r="T63" s="318"/>
      <c r="U63" s="318"/>
      <c r="V63" s="318"/>
      <c r="W63" s="318"/>
      <c r="X63" s="318"/>
      <c r="Y63" s="231" t="b">
        <f>L63=SUM(O63:X63)</f>
        <v>1</v>
      </c>
      <c r="Z63" s="317">
        <f>ROUND(L63/K63,4)</f>
        <v>0.5</v>
      </c>
      <c r="AA63" s="233" t="b">
        <f>Z63=N63</f>
        <v>1</v>
      </c>
      <c r="AB63" s="233" t="b">
        <f>K63=L63+M63</f>
        <v>1</v>
      </c>
    </row>
    <row r="64" spans="1:28" s="327" customFormat="1" ht="12.75">
      <c r="A64" s="175">
        <v>62</v>
      </c>
      <c r="B64" s="175" t="s">
        <v>451</v>
      </c>
      <c r="C64" s="175" t="s">
        <v>110</v>
      </c>
      <c r="D64" s="204" t="s">
        <v>200</v>
      </c>
      <c r="E64" s="313" t="s">
        <v>452</v>
      </c>
      <c r="F64" s="175" t="s">
        <v>191</v>
      </c>
      <c r="G64" s="177" t="s">
        <v>453</v>
      </c>
      <c r="H64" s="174" t="s">
        <v>87</v>
      </c>
      <c r="I64" s="198">
        <v>1.72</v>
      </c>
      <c r="J64" s="199" t="s">
        <v>454</v>
      </c>
      <c r="K64" s="179">
        <v>2325213</v>
      </c>
      <c r="L64" s="179">
        <v>1278867.1500000001</v>
      </c>
      <c r="M64" s="180">
        <f aca="true" t="shared" si="15" ref="M64:M80">K64-L64</f>
        <v>1046345.8499999999</v>
      </c>
      <c r="N64" s="181">
        <v>0.55</v>
      </c>
      <c r="O64" s="315"/>
      <c r="P64" s="315"/>
      <c r="Q64" s="316"/>
      <c r="R64" s="316">
        <v>341619.85</v>
      </c>
      <c r="S64" s="316">
        <v>937247.3</v>
      </c>
      <c r="T64" s="316"/>
      <c r="U64" s="316"/>
      <c r="V64" s="316"/>
      <c r="W64" s="316"/>
      <c r="X64" s="316"/>
      <c r="Y64" s="231" t="b">
        <f aca="true" t="shared" si="16" ref="Y64:Y80">L64=SUM(O64:X64)</f>
        <v>1</v>
      </c>
      <c r="Z64" s="317">
        <f aca="true" t="shared" si="17" ref="Z64:Z80">ROUND(L64/K64,4)</f>
        <v>0.55</v>
      </c>
      <c r="AA64" s="233" t="b">
        <f aca="true" t="shared" si="18" ref="AA64:AA80">Z64=N64</f>
        <v>1</v>
      </c>
      <c r="AB64" s="233" t="b">
        <f aca="true" t="shared" si="19" ref="AB64:AB80">K64=L64+M64</f>
        <v>1</v>
      </c>
    </row>
    <row r="65" spans="1:28" s="327" customFormat="1" ht="12.75">
      <c r="A65" s="175">
        <v>63</v>
      </c>
      <c r="B65" s="175" t="s">
        <v>455</v>
      </c>
      <c r="C65" s="175" t="s">
        <v>110</v>
      </c>
      <c r="D65" s="204" t="s">
        <v>456</v>
      </c>
      <c r="E65" s="313" t="s">
        <v>457</v>
      </c>
      <c r="F65" s="175" t="s">
        <v>205</v>
      </c>
      <c r="G65" s="177" t="s">
        <v>458</v>
      </c>
      <c r="H65" s="174" t="s">
        <v>59</v>
      </c>
      <c r="I65" s="198">
        <v>0.503</v>
      </c>
      <c r="J65" s="199" t="s">
        <v>360</v>
      </c>
      <c r="K65" s="179">
        <v>1512432</v>
      </c>
      <c r="L65" s="179">
        <v>756216</v>
      </c>
      <c r="M65" s="180">
        <f t="shared" si="15"/>
        <v>756216</v>
      </c>
      <c r="N65" s="181">
        <v>0.5</v>
      </c>
      <c r="O65" s="315"/>
      <c r="P65" s="315"/>
      <c r="Q65" s="316"/>
      <c r="R65" s="316">
        <v>506765</v>
      </c>
      <c r="S65" s="316">
        <v>249451</v>
      </c>
      <c r="T65" s="316"/>
      <c r="U65" s="316"/>
      <c r="V65" s="316"/>
      <c r="W65" s="316"/>
      <c r="X65" s="316"/>
      <c r="Y65" s="231" t="b">
        <f t="shared" si="16"/>
        <v>1</v>
      </c>
      <c r="Z65" s="317">
        <f t="shared" si="17"/>
        <v>0.5</v>
      </c>
      <c r="AA65" s="233" t="b">
        <f t="shared" si="18"/>
        <v>1</v>
      </c>
      <c r="AB65" s="233" t="b">
        <f t="shared" si="19"/>
        <v>1</v>
      </c>
    </row>
    <row r="66" spans="1:28" s="326" customFormat="1" ht="12.75">
      <c r="A66" s="175">
        <v>64</v>
      </c>
      <c r="B66" s="211" t="s">
        <v>459</v>
      </c>
      <c r="C66" s="211" t="s">
        <v>117</v>
      </c>
      <c r="D66" s="210" t="s">
        <v>460</v>
      </c>
      <c r="E66" s="308" t="s">
        <v>461</v>
      </c>
      <c r="F66" s="211" t="s">
        <v>462</v>
      </c>
      <c r="G66" s="224" t="s">
        <v>463</v>
      </c>
      <c r="H66" s="206" t="s">
        <v>42</v>
      </c>
      <c r="I66" s="321">
        <v>0.855</v>
      </c>
      <c r="J66" s="214" t="s">
        <v>383</v>
      </c>
      <c r="K66" s="216">
        <v>1317412</v>
      </c>
      <c r="L66" s="216">
        <v>658706</v>
      </c>
      <c r="M66" s="237">
        <f t="shared" si="15"/>
        <v>658706</v>
      </c>
      <c r="N66" s="217">
        <v>0.5</v>
      </c>
      <c r="O66" s="322"/>
      <c r="P66" s="322"/>
      <c r="Q66" s="318"/>
      <c r="R66" s="318">
        <v>658706</v>
      </c>
      <c r="S66" s="318"/>
      <c r="T66" s="318"/>
      <c r="U66" s="318"/>
      <c r="V66" s="318"/>
      <c r="W66" s="318"/>
      <c r="X66" s="318"/>
      <c r="Y66" s="231" t="b">
        <f t="shared" si="16"/>
        <v>1</v>
      </c>
      <c r="Z66" s="317">
        <f t="shared" si="17"/>
        <v>0.5</v>
      </c>
      <c r="AA66" s="233" t="b">
        <f t="shared" si="18"/>
        <v>1</v>
      </c>
      <c r="AB66" s="233" t="b">
        <f t="shared" si="19"/>
        <v>1</v>
      </c>
    </row>
    <row r="67" spans="1:28" s="326" customFormat="1" ht="12.75">
      <c r="A67" s="175">
        <v>65</v>
      </c>
      <c r="B67" s="211" t="s">
        <v>464</v>
      </c>
      <c r="C67" s="211" t="s">
        <v>117</v>
      </c>
      <c r="D67" s="210" t="s">
        <v>465</v>
      </c>
      <c r="E67" s="308" t="s">
        <v>466</v>
      </c>
      <c r="F67" s="211" t="s">
        <v>462</v>
      </c>
      <c r="G67" s="224" t="s">
        <v>467</v>
      </c>
      <c r="H67" s="206" t="s">
        <v>42</v>
      </c>
      <c r="I67" s="321">
        <v>0.682</v>
      </c>
      <c r="J67" s="214" t="s">
        <v>468</v>
      </c>
      <c r="K67" s="216">
        <v>1124596</v>
      </c>
      <c r="L67" s="216">
        <v>562298</v>
      </c>
      <c r="M67" s="237">
        <f t="shared" si="15"/>
        <v>562298</v>
      </c>
      <c r="N67" s="217">
        <v>0.5</v>
      </c>
      <c r="O67" s="322"/>
      <c r="P67" s="322"/>
      <c r="Q67" s="318"/>
      <c r="R67" s="318">
        <v>562298</v>
      </c>
      <c r="S67" s="318"/>
      <c r="T67" s="318"/>
      <c r="U67" s="318"/>
      <c r="V67" s="318"/>
      <c r="W67" s="318"/>
      <c r="X67" s="318"/>
      <c r="Y67" s="231" t="b">
        <f t="shared" si="16"/>
        <v>1</v>
      </c>
      <c r="Z67" s="317">
        <f t="shared" si="17"/>
        <v>0.5</v>
      </c>
      <c r="AA67" s="233" t="b">
        <f t="shared" si="18"/>
        <v>1</v>
      </c>
      <c r="AB67" s="233" t="b">
        <f t="shared" si="19"/>
        <v>1</v>
      </c>
    </row>
    <row r="68" spans="1:28" s="327" customFormat="1" ht="12.75">
      <c r="A68" s="175">
        <v>66</v>
      </c>
      <c r="B68" s="175" t="s">
        <v>469</v>
      </c>
      <c r="C68" s="175" t="s">
        <v>110</v>
      </c>
      <c r="D68" s="204" t="s">
        <v>136</v>
      </c>
      <c r="E68" s="313" t="s">
        <v>470</v>
      </c>
      <c r="F68" s="175" t="s">
        <v>471</v>
      </c>
      <c r="G68" s="177" t="s">
        <v>472</v>
      </c>
      <c r="H68" s="174" t="s">
        <v>42</v>
      </c>
      <c r="I68" s="198">
        <v>0.775</v>
      </c>
      <c r="J68" s="199" t="s">
        <v>473</v>
      </c>
      <c r="K68" s="179">
        <v>2698000</v>
      </c>
      <c r="L68" s="179">
        <v>1349000</v>
      </c>
      <c r="M68" s="180">
        <f t="shared" si="15"/>
        <v>1349000</v>
      </c>
      <c r="N68" s="181">
        <v>0.5</v>
      </c>
      <c r="O68" s="315"/>
      <c r="P68" s="315"/>
      <c r="Q68" s="316"/>
      <c r="R68" s="316">
        <v>400000</v>
      </c>
      <c r="S68" s="316">
        <v>949000</v>
      </c>
      <c r="T68" s="316"/>
      <c r="U68" s="316"/>
      <c r="V68" s="316"/>
      <c r="W68" s="316"/>
      <c r="X68" s="316"/>
      <c r="Y68" s="231" t="b">
        <f t="shared" si="16"/>
        <v>1</v>
      </c>
      <c r="Z68" s="317">
        <f t="shared" si="17"/>
        <v>0.5</v>
      </c>
      <c r="AA68" s="233" t="b">
        <f t="shared" si="18"/>
        <v>1</v>
      </c>
      <c r="AB68" s="233" t="b">
        <f t="shared" si="19"/>
        <v>1</v>
      </c>
    </row>
    <row r="69" spans="1:28" s="326" customFormat="1" ht="12.75">
      <c r="A69" s="175">
        <v>67</v>
      </c>
      <c r="B69" s="211" t="s">
        <v>474</v>
      </c>
      <c r="C69" s="211" t="s">
        <v>117</v>
      </c>
      <c r="D69" s="210" t="s">
        <v>204</v>
      </c>
      <c r="E69" s="308" t="s">
        <v>475</v>
      </c>
      <c r="F69" s="211" t="s">
        <v>205</v>
      </c>
      <c r="G69" s="224" t="s">
        <v>476</v>
      </c>
      <c r="H69" s="206" t="s">
        <v>59</v>
      </c>
      <c r="I69" s="321">
        <v>0.372</v>
      </c>
      <c r="J69" s="214" t="s">
        <v>369</v>
      </c>
      <c r="K69" s="216">
        <v>1396986</v>
      </c>
      <c r="L69" s="216">
        <v>698493</v>
      </c>
      <c r="M69" s="237">
        <f t="shared" si="15"/>
        <v>698493</v>
      </c>
      <c r="N69" s="217">
        <v>0.5</v>
      </c>
      <c r="O69" s="322"/>
      <c r="P69" s="322"/>
      <c r="Q69" s="318"/>
      <c r="R69" s="318">
        <v>698493</v>
      </c>
      <c r="S69" s="318"/>
      <c r="T69" s="318"/>
      <c r="U69" s="318"/>
      <c r="V69" s="318"/>
      <c r="W69" s="318"/>
      <c r="X69" s="318"/>
      <c r="Y69" s="231" t="b">
        <f t="shared" si="16"/>
        <v>1</v>
      </c>
      <c r="Z69" s="317">
        <f t="shared" si="17"/>
        <v>0.5</v>
      </c>
      <c r="AA69" s="233" t="b">
        <f t="shared" si="18"/>
        <v>1</v>
      </c>
      <c r="AB69" s="233" t="b">
        <f t="shared" si="19"/>
        <v>1</v>
      </c>
    </row>
    <row r="70" spans="1:28" s="327" customFormat="1" ht="12.75">
      <c r="A70" s="175">
        <v>68</v>
      </c>
      <c r="B70" s="175" t="s">
        <v>477</v>
      </c>
      <c r="C70" s="175" t="s">
        <v>110</v>
      </c>
      <c r="D70" s="204" t="s">
        <v>232</v>
      </c>
      <c r="E70" s="313" t="s">
        <v>233</v>
      </c>
      <c r="F70" s="175" t="s">
        <v>234</v>
      </c>
      <c r="G70" s="177" t="s">
        <v>478</v>
      </c>
      <c r="H70" s="174" t="s">
        <v>42</v>
      </c>
      <c r="I70" s="198">
        <v>0.578</v>
      </c>
      <c r="J70" s="199" t="s">
        <v>479</v>
      </c>
      <c r="K70" s="179">
        <v>2890267</v>
      </c>
      <c r="L70" s="179">
        <v>1445133.5</v>
      </c>
      <c r="M70" s="180">
        <f t="shared" si="15"/>
        <v>1445133.5</v>
      </c>
      <c r="N70" s="181">
        <v>0.5</v>
      </c>
      <c r="O70" s="315"/>
      <c r="P70" s="315"/>
      <c r="Q70" s="316"/>
      <c r="R70" s="316">
        <v>627326.5</v>
      </c>
      <c r="S70" s="316">
        <v>817807</v>
      </c>
      <c r="T70" s="316"/>
      <c r="U70" s="316"/>
      <c r="V70" s="316"/>
      <c r="W70" s="316"/>
      <c r="X70" s="316"/>
      <c r="Y70" s="231" t="b">
        <f t="shared" si="16"/>
        <v>1</v>
      </c>
      <c r="Z70" s="317">
        <f t="shared" si="17"/>
        <v>0.5</v>
      </c>
      <c r="AA70" s="233" t="b">
        <f t="shared" si="18"/>
        <v>1</v>
      </c>
      <c r="AB70" s="233" t="b">
        <f t="shared" si="19"/>
        <v>1</v>
      </c>
    </row>
    <row r="71" spans="1:28" s="327" customFormat="1" ht="12.75">
      <c r="A71" s="175">
        <v>69</v>
      </c>
      <c r="B71" s="175" t="s">
        <v>480</v>
      </c>
      <c r="C71" s="175" t="s">
        <v>110</v>
      </c>
      <c r="D71" s="204" t="s">
        <v>481</v>
      </c>
      <c r="E71" s="313" t="s">
        <v>482</v>
      </c>
      <c r="F71" s="175" t="s">
        <v>483</v>
      </c>
      <c r="G71" s="177" t="s">
        <v>484</v>
      </c>
      <c r="H71" s="174" t="s">
        <v>42</v>
      </c>
      <c r="I71" s="198">
        <v>0.291</v>
      </c>
      <c r="J71" s="199" t="s">
        <v>485</v>
      </c>
      <c r="K71" s="179">
        <v>1321476</v>
      </c>
      <c r="L71" s="179">
        <v>660738</v>
      </c>
      <c r="M71" s="180">
        <f t="shared" si="15"/>
        <v>660738</v>
      </c>
      <c r="N71" s="181">
        <v>0.5</v>
      </c>
      <c r="O71" s="315"/>
      <c r="P71" s="315"/>
      <c r="Q71" s="316"/>
      <c r="R71" s="316">
        <v>150000</v>
      </c>
      <c r="S71" s="316">
        <v>510738</v>
      </c>
      <c r="T71" s="316"/>
      <c r="U71" s="316"/>
      <c r="V71" s="316"/>
      <c r="W71" s="316"/>
      <c r="X71" s="316"/>
      <c r="Y71" s="231" t="b">
        <f t="shared" si="16"/>
        <v>1</v>
      </c>
      <c r="Z71" s="317">
        <f t="shared" si="17"/>
        <v>0.5</v>
      </c>
      <c r="AA71" s="233" t="b">
        <f t="shared" si="18"/>
        <v>1</v>
      </c>
      <c r="AB71" s="233" t="b">
        <f t="shared" si="19"/>
        <v>1</v>
      </c>
    </row>
    <row r="72" spans="1:28" s="327" customFormat="1" ht="12.75">
      <c r="A72" s="175">
        <v>70</v>
      </c>
      <c r="B72" s="175" t="s">
        <v>486</v>
      </c>
      <c r="C72" s="175" t="s">
        <v>110</v>
      </c>
      <c r="D72" s="204" t="s">
        <v>481</v>
      </c>
      <c r="E72" s="313" t="s">
        <v>482</v>
      </c>
      <c r="F72" s="175" t="s">
        <v>483</v>
      </c>
      <c r="G72" s="177" t="s">
        <v>487</v>
      </c>
      <c r="H72" s="174" t="s">
        <v>42</v>
      </c>
      <c r="I72" s="198">
        <v>0.493</v>
      </c>
      <c r="J72" s="199" t="s">
        <v>454</v>
      </c>
      <c r="K72" s="179">
        <v>2266360</v>
      </c>
      <c r="L72" s="179">
        <v>1133180</v>
      </c>
      <c r="M72" s="180">
        <f t="shared" si="15"/>
        <v>1133180</v>
      </c>
      <c r="N72" s="181">
        <v>0.5</v>
      </c>
      <c r="O72" s="315"/>
      <c r="P72" s="315"/>
      <c r="Q72" s="316"/>
      <c r="R72" s="316">
        <v>566590</v>
      </c>
      <c r="S72" s="316">
        <v>566590</v>
      </c>
      <c r="T72" s="316"/>
      <c r="U72" s="316"/>
      <c r="V72" s="316"/>
      <c r="W72" s="316"/>
      <c r="X72" s="316"/>
      <c r="Y72" s="231" t="b">
        <f t="shared" si="16"/>
        <v>1</v>
      </c>
      <c r="Z72" s="317">
        <f t="shared" si="17"/>
        <v>0.5</v>
      </c>
      <c r="AA72" s="233" t="b">
        <f t="shared" si="18"/>
        <v>1</v>
      </c>
      <c r="AB72" s="233" t="b">
        <f t="shared" si="19"/>
        <v>1</v>
      </c>
    </row>
    <row r="73" spans="1:28" s="326" customFormat="1" ht="12.75">
      <c r="A73" s="175">
        <v>71</v>
      </c>
      <c r="B73" s="211" t="s">
        <v>488</v>
      </c>
      <c r="C73" s="211" t="s">
        <v>117</v>
      </c>
      <c r="D73" s="210" t="s">
        <v>489</v>
      </c>
      <c r="E73" s="308" t="s">
        <v>490</v>
      </c>
      <c r="F73" s="211" t="s">
        <v>491</v>
      </c>
      <c r="G73" s="224" t="s">
        <v>492</v>
      </c>
      <c r="H73" s="206" t="s">
        <v>42</v>
      </c>
      <c r="I73" s="321">
        <v>0.17</v>
      </c>
      <c r="J73" s="214" t="s">
        <v>150</v>
      </c>
      <c r="K73" s="216">
        <v>1340073</v>
      </c>
      <c r="L73" s="216">
        <v>670036.5</v>
      </c>
      <c r="M73" s="237">
        <f t="shared" si="15"/>
        <v>670036.5</v>
      </c>
      <c r="N73" s="217">
        <v>0.5</v>
      </c>
      <c r="O73" s="322"/>
      <c r="P73" s="322"/>
      <c r="Q73" s="318"/>
      <c r="R73" s="318">
        <v>670036.5</v>
      </c>
      <c r="S73" s="318"/>
      <c r="T73" s="318"/>
      <c r="U73" s="318"/>
      <c r="V73" s="318"/>
      <c r="W73" s="318"/>
      <c r="X73" s="318"/>
      <c r="Y73" s="231" t="b">
        <f t="shared" si="16"/>
        <v>1</v>
      </c>
      <c r="Z73" s="317">
        <f t="shared" si="17"/>
        <v>0.5</v>
      </c>
      <c r="AA73" s="233" t="b">
        <f t="shared" si="18"/>
        <v>1</v>
      </c>
      <c r="AB73" s="233" t="b">
        <f t="shared" si="19"/>
        <v>1</v>
      </c>
    </row>
    <row r="74" spans="1:28" s="326" customFormat="1" ht="12.75">
      <c r="A74" s="175">
        <v>72</v>
      </c>
      <c r="B74" s="211" t="s">
        <v>493</v>
      </c>
      <c r="C74" s="211" t="s">
        <v>117</v>
      </c>
      <c r="D74" s="210" t="s">
        <v>174</v>
      </c>
      <c r="E74" s="308" t="s">
        <v>494</v>
      </c>
      <c r="F74" s="211" t="s">
        <v>495</v>
      </c>
      <c r="G74" s="224" t="s">
        <v>496</v>
      </c>
      <c r="H74" s="206" t="s">
        <v>87</v>
      </c>
      <c r="I74" s="321">
        <v>0.41</v>
      </c>
      <c r="J74" s="214" t="s">
        <v>176</v>
      </c>
      <c r="K74" s="216">
        <v>509932</v>
      </c>
      <c r="L74" s="216">
        <v>254966</v>
      </c>
      <c r="M74" s="237">
        <f t="shared" si="15"/>
        <v>254966</v>
      </c>
      <c r="N74" s="217">
        <v>0.5</v>
      </c>
      <c r="O74" s="322"/>
      <c r="P74" s="322"/>
      <c r="Q74" s="318"/>
      <c r="R74" s="318">
        <v>254966</v>
      </c>
      <c r="S74" s="318"/>
      <c r="T74" s="318"/>
      <c r="U74" s="318"/>
      <c r="V74" s="318"/>
      <c r="W74" s="318"/>
      <c r="X74" s="318"/>
      <c r="Y74" s="231" t="b">
        <f t="shared" si="16"/>
        <v>1</v>
      </c>
      <c r="Z74" s="317">
        <f t="shared" si="17"/>
        <v>0.5</v>
      </c>
      <c r="AA74" s="233" t="b">
        <f t="shared" si="18"/>
        <v>1</v>
      </c>
      <c r="AB74" s="233" t="b">
        <f t="shared" si="19"/>
        <v>1</v>
      </c>
    </row>
    <row r="75" spans="1:28" s="326" customFormat="1" ht="12.75">
      <c r="A75" s="175">
        <v>73</v>
      </c>
      <c r="B75" s="211" t="s">
        <v>497</v>
      </c>
      <c r="C75" s="211" t="s">
        <v>117</v>
      </c>
      <c r="D75" s="210" t="s">
        <v>498</v>
      </c>
      <c r="E75" s="308" t="s">
        <v>499</v>
      </c>
      <c r="F75" s="211" t="s">
        <v>491</v>
      </c>
      <c r="G75" s="224" t="s">
        <v>500</v>
      </c>
      <c r="H75" s="206" t="s">
        <v>42</v>
      </c>
      <c r="I75" s="321">
        <v>0.236</v>
      </c>
      <c r="J75" s="214" t="s">
        <v>134</v>
      </c>
      <c r="K75" s="216">
        <v>719000</v>
      </c>
      <c r="L75" s="216">
        <v>359500</v>
      </c>
      <c r="M75" s="237">
        <f t="shared" si="15"/>
        <v>359500</v>
      </c>
      <c r="N75" s="217">
        <v>0.5</v>
      </c>
      <c r="O75" s="322"/>
      <c r="P75" s="322"/>
      <c r="Q75" s="318"/>
      <c r="R75" s="318">
        <v>359500</v>
      </c>
      <c r="S75" s="318"/>
      <c r="T75" s="318"/>
      <c r="U75" s="318"/>
      <c r="V75" s="318"/>
      <c r="W75" s="318"/>
      <c r="X75" s="318"/>
      <c r="Y75" s="231" t="b">
        <f t="shared" si="16"/>
        <v>1</v>
      </c>
      <c r="Z75" s="317">
        <f t="shared" si="17"/>
        <v>0.5</v>
      </c>
      <c r="AA75" s="233" t="b">
        <f t="shared" si="18"/>
        <v>1</v>
      </c>
      <c r="AB75" s="233" t="b">
        <f t="shared" si="19"/>
        <v>1</v>
      </c>
    </row>
    <row r="76" spans="1:28" s="326" customFormat="1" ht="12.75">
      <c r="A76" s="175">
        <v>74</v>
      </c>
      <c r="B76" s="211" t="s">
        <v>501</v>
      </c>
      <c r="C76" s="211" t="s">
        <v>117</v>
      </c>
      <c r="D76" s="210" t="s">
        <v>502</v>
      </c>
      <c r="E76" s="308" t="s">
        <v>503</v>
      </c>
      <c r="F76" s="211" t="s">
        <v>411</v>
      </c>
      <c r="G76" s="224" t="s">
        <v>504</v>
      </c>
      <c r="H76" s="206" t="s">
        <v>42</v>
      </c>
      <c r="I76" s="321">
        <v>0.414</v>
      </c>
      <c r="J76" s="214" t="s">
        <v>124</v>
      </c>
      <c r="K76" s="216">
        <v>1799090</v>
      </c>
      <c r="L76" s="216">
        <v>899545</v>
      </c>
      <c r="M76" s="237">
        <f t="shared" si="15"/>
        <v>899545</v>
      </c>
      <c r="N76" s="217">
        <v>0.5</v>
      </c>
      <c r="O76" s="322"/>
      <c r="P76" s="322"/>
      <c r="Q76" s="318"/>
      <c r="R76" s="318">
        <v>899545</v>
      </c>
      <c r="S76" s="318"/>
      <c r="T76" s="318"/>
      <c r="U76" s="318"/>
      <c r="V76" s="318"/>
      <c r="W76" s="318"/>
      <c r="X76" s="318"/>
      <c r="Y76" s="231" t="b">
        <f t="shared" si="16"/>
        <v>1</v>
      </c>
      <c r="Z76" s="317">
        <f t="shared" si="17"/>
        <v>0.5</v>
      </c>
      <c r="AA76" s="233" t="b">
        <f t="shared" si="18"/>
        <v>1</v>
      </c>
      <c r="AB76" s="233" t="b">
        <f t="shared" si="19"/>
        <v>1</v>
      </c>
    </row>
    <row r="77" spans="1:28" s="326" customFormat="1" ht="12.75">
      <c r="A77" s="175">
        <v>75</v>
      </c>
      <c r="B77" s="211" t="s">
        <v>505</v>
      </c>
      <c r="C77" s="211" t="s">
        <v>117</v>
      </c>
      <c r="D77" s="210" t="s">
        <v>506</v>
      </c>
      <c r="E77" s="308" t="s">
        <v>507</v>
      </c>
      <c r="F77" s="211" t="s">
        <v>411</v>
      </c>
      <c r="G77" s="224" t="s">
        <v>508</v>
      </c>
      <c r="H77" s="206" t="s">
        <v>42</v>
      </c>
      <c r="I77" s="321">
        <v>2.372</v>
      </c>
      <c r="J77" s="214" t="s">
        <v>509</v>
      </c>
      <c r="K77" s="216">
        <v>2929300</v>
      </c>
      <c r="L77" s="216">
        <f>INT(K77*N77)</f>
        <v>2343440</v>
      </c>
      <c r="M77" s="237">
        <f t="shared" si="15"/>
        <v>585860</v>
      </c>
      <c r="N77" s="217">
        <v>0.8</v>
      </c>
      <c r="O77" s="322"/>
      <c r="P77" s="322"/>
      <c r="Q77" s="318"/>
      <c r="R77" s="318">
        <f>L77</f>
        <v>2343440</v>
      </c>
      <c r="S77" s="318"/>
      <c r="T77" s="318"/>
      <c r="U77" s="318"/>
      <c r="V77" s="318"/>
      <c r="W77" s="318"/>
      <c r="X77" s="318"/>
      <c r="Y77" s="231" t="b">
        <f t="shared" si="16"/>
        <v>1</v>
      </c>
      <c r="Z77" s="317">
        <f t="shared" si="17"/>
        <v>0.8</v>
      </c>
      <c r="AA77" s="233" t="b">
        <f t="shared" si="18"/>
        <v>1</v>
      </c>
      <c r="AB77" s="233" t="b">
        <f t="shared" si="19"/>
        <v>1</v>
      </c>
    </row>
    <row r="78" spans="1:30" s="329" customFormat="1" ht="12.75">
      <c r="A78" s="175">
        <v>76</v>
      </c>
      <c r="B78" s="211" t="s">
        <v>510</v>
      </c>
      <c r="C78" s="211" t="s">
        <v>117</v>
      </c>
      <c r="D78" s="210" t="s">
        <v>511</v>
      </c>
      <c r="E78" s="308" t="s">
        <v>512</v>
      </c>
      <c r="F78" s="319" t="s">
        <v>283</v>
      </c>
      <c r="G78" s="224" t="s">
        <v>513</v>
      </c>
      <c r="H78" s="320" t="s">
        <v>59</v>
      </c>
      <c r="I78" s="321">
        <v>0.426</v>
      </c>
      <c r="J78" s="214" t="s">
        <v>154</v>
      </c>
      <c r="K78" s="216">
        <v>1603392</v>
      </c>
      <c r="L78" s="216">
        <f>INT(K78*N78)</f>
        <v>1122374</v>
      </c>
      <c r="M78" s="237">
        <f>K78-L78</f>
        <v>481018</v>
      </c>
      <c r="N78" s="217">
        <v>0.7</v>
      </c>
      <c r="O78" s="322"/>
      <c r="P78" s="322"/>
      <c r="Q78" s="318"/>
      <c r="R78" s="318">
        <f>L78</f>
        <v>1122374</v>
      </c>
      <c r="S78" s="318"/>
      <c r="T78" s="318"/>
      <c r="U78" s="318"/>
      <c r="V78" s="318"/>
      <c r="W78" s="318"/>
      <c r="X78" s="318"/>
      <c r="Y78" s="167" t="b">
        <f>L78=SUM(O78:X78)</f>
        <v>1</v>
      </c>
      <c r="Z78" s="328">
        <f>ROUND(L78/K78,4)</f>
        <v>0.7</v>
      </c>
      <c r="AA78" s="186" t="b">
        <f>Z78=N78</f>
        <v>1</v>
      </c>
      <c r="AB78" s="186" t="b">
        <f>K78=L78+M78</f>
        <v>1</v>
      </c>
      <c r="AD78" s="330"/>
    </row>
    <row r="79" spans="1:28" s="331" customFormat="1" ht="12.75">
      <c r="A79" s="175">
        <v>77</v>
      </c>
      <c r="B79" s="211" t="s">
        <v>514</v>
      </c>
      <c r="C79" s="211" t="s">
        <v>117</v>
      </c>
      <c r="D79" s="210" t="s">
        <v>511</v>
      </c>
      <c r="E79" s="308" t="s">
        <v>512</v>
      </c>
      <c r="F79" s="211" t="s">
        <v>283</v>
      </c>
      <c r="G79" s="224" t="s">
        <v>515</v>
      </c>
      <c r="H79" s="206" t="s">
        <v>59</v>
      </c>
      <c r="I79" s="321">
        <v>0.231</v>
      </c>
      <c r="J79" s="214" t="s">
        <v>154</v>
      </c>
      <c r="K79" s="216">
        <v>731933</v>
      </c>
      <c r="L79" s="216">
        <v>365966.5</v>
      </c>
      <c r="M79" s="237">
        <f>K79-L79</f>
        <v>365966.5</v>
      </c>
      <c r="N79" s="217">
        <v>0.5</v>
      </c>
      <c r="O79" s="322"/>
      <c r="P79" s="322"/>
      <c r="Q79" s="318"/>
      <c r="R79" s="318">
        <v>365966.5</v>
      </c>
      <c r="S79" s="318"/>
      <c r="T79" s="318"/>
      <c r="U79" s="318"/>
      <c r="V79" s="318"/>
      <c r="W79" s="318"/>
      <c r="X79" s="318"/>
      <c r="Y79" s="167" t="b">
        <f>L79=SUM(O79:X79)</f>
        <v>1</v>
      </c>
      <c r="Z79" s="328">
        <f>ROUND(L79/K79,4)</f>
        <v>0.5</v>
      </c>
      <c r="AA79" s="186" t="b">
        <f>Z79=N79</f>
        <v>1</v>
      </c>
      <c r="AB79" s="186" t="b">
        <f>K79=L79+M79</f>
        <v>1</v>
      </c>
    </row>
    <row r="80" spans="1:28" s="326" customFormat="1" ht="12.75">
      <c r="A80" s="175" t="s">
        <v>516</v>
      </c>
      <c r="B80" s="211" t="s">
        <v>517</v>
      </c>
      <c r="C80" s="211" t="s">
        <v>117</v>
      </c>
      <c r="D80" s="210" t="s">
        <v>502</v>
      </c>
      <c r="E80" s="308" t="s">
        <v>503</v>
      </c>
      <c r="F80" s="211" t="s">
        <v>411</v>
      </c>
      <c r="G80" s="224" t="s">
        <v>518</v>
      </c>
      <c r="H80" s="206" t="s">
        <v>42</v>
      </c>
      <c r="I80" s="321">
        <v>0.269</v>
      </c>
      <c r="J80" s="214" t="s">
        <v>124</v>
      </c>
      <c r="K80" s="216">
        <v>2365508</v>
      </c>
      <c r="L80" s="216">
        <v>483746.8799999878</v>
      </c>
      <c r="M80" s="237">
        <f t="shared" si="15"/>
        <v>1881761.1200000122</v>
      </c>
      <c r="N80" s="217">
        <v>0.5</v>
      </c>
      <c r="O80" s="322"/>
      <c r="P80" s="322"/>
      <c r="Q80" s="318"/>
      <c r="R80" s="318">
        <v>483746.8799999878</v>
      </c>
      <c r="S80" s="318"/>
      <c r="T80" s="318"/>
      <c r="U80" s="318"/>
      <c r="V80" s="318"/>
      <c r="W80" s="318"/>
      <c r="X80" s="318"/>
      <c r="Y80" s="231" t="b">
        <f t="shared" si="16"/>
        <v>1</v>
      </c>
      <c r="Z80" s="317">
        <f t="shared" si="17"/>
        <v>0.2045</v>
      </c>
      <c r="AA80" s="233" t="b">
        <f t="shared" si="18"/>
        <v>0</v>
      </c>
      <c r="AB80" s="233" t="b">
        <f t="shared" si="19"/>
        <v>1</v>
      </c>
    </row>
    <row r="81" spans="1:113" s="335" customFormat="1" ht="19.5" customHeight="1">
      <c r="A81" s="165" t="s">
        <v>177</v>
      </c>
      <c r="B81" s="165"/>
      <c r="C81" s="165"/>
      <c r="D81" s="165"/>
      <c r="E81" s="165"/>
      <c r="F81" s="165"/>
      <c r="G81" s="165"/>
      <c r="H81" s="165"/>
      <c r="I81" s="241">
        <f>SUM(I3:I80)</f>
        <v>81.66800000000002</v>
      </c>
      <c r="J81" s="165" t="s">
        <v>178</v>
      </c>
      <c r="K81" s="237">
        <f>SUM(K3:K80)</f>
        <v>251708220.79000002</v>
      </c>
      <c r="L81" s="237">
        <f>SUM(L3:L80)</f>
        <v>129170591.25000001</v>
      </c>
      <c r="M81" s="237">
        <f>SUM(M3:M80)</f>
        <v>122537629.54</v>
      </c>
      <c r="N81" s="242" t="s">
        <v>178</v>
      </c>
      <c r="O81" s="237">
        <f aca="true" t="shared" si="20" ref="O81:X81">SUM(O3:O80)</f>
        <v>215964.8</v>
      </c>
      <c r="P81" s="237">
        <f t="shared" si="20"/>
        <v>4955288.21</v>
      </c>
      <c r="Q81" s="237">
        <f t="shared" si="20"/>
        <v>20823469.049999997</v>
      </c>
      <c r="R81" s="237">
        <f>SUM(R3:R80)</f>
        <v>75031046.38</v>
      </c>
      <c r="S81" s="237">
        <f t="shared" si="20"/>
        <v>25013246.310000002</v>
      </c>
      <c r="T81" s="237">
        <f t="shared" si="20"/>
        <v>1092471</v>
      </c>
      <c r="U81" s="237">
        <f t="shared" si="20"/>
        <v>1011161.5</v>
      </c>
      <c r="V81" s="237">
        <f t="shared" si="20"/>
        <v>1027944</v>
      </c>
      <c r="W81" s="237">
        <f t="shared" si="20"/>
        <v>0</v>
      </c>
      <c r="X81" s="237">
        <f t="shared" si="20"/>
        <v>0</v>
      </c>
      <c r="Y81" s="332"/>
      <c r="Z81" s="332"/>
      <c r="AA81" s="332"/>
      <c r="AB81" s="332"/>
      <c r="AC81" s="157"/>
      <c r="AD81" s="171"/>
      <c r="AE81" s="333"/>
      <c r="AF81" s="171"/>
      <c r="AG81" s="334"/>
      <c r="AH81" s="333"/>
      <c r="AI81" s="333"/>
      <c r="AJ81" s="333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</row>
    <row r="82" spans="1:113" s="336" customFormat="1" ht="19.5" customHeight="1">
      <c r="A82" s="248" t="s">
        <v>12</v>
      </c>
      <c r="B82" s="248"/>
      <c r="C82" s="248"/>
      <c r="D82" s="248"/>
      <c r="E82" s="248"/>
      <c r="F82" s="248"/>
      <c r="G82" s="248"/>
      <c r="H82" s="248"/>
      <c r="I82" s="247">
        <f>SUMIF($C$3:$C$80,"K",I3:I80)</f>
        <v>38.458</v>
      </c>
      <c r="J82" s="248" t="s">
        <v>178</v>
      </c>
      <c r="K82" s="180">
        <f>SUMIF($C$3:$C$80,"K",K3:K80)</f>
        <v>122349029.79</v>
      </c>
      <c r="L82" s="180">
        <f>SUMIF($C$3:$C$80,"K",L3:L80)</f>
        <v>62118360.77</v>
      </c>
      <c r="M82" s="180">
        <f>SUMIF($C$3:$C$80,"K",M3:M80)</f>
        <v>60230669.019999996</v>
      </c>
      <c r="N82" s="249" t="s">
        <v>178</v>
      </c>
      <c r="O82" s="180">
        <f aca="true" t="shared" si="21" ref="O82:X82">SUMIF($C$3:$C$80,"K",O3:O80)</f>
        <v>215964.8</v>
      </c>
      <c r="P82" s="180">
        <f t="shared" si="21"/>
        <v>4955288.21</v>
      </c>
      <c r="Q82" s="180">
        <f t="shared" si="21"/>
        <v>20823469.049999997</v>
      </c>
      <c r="R82" s="180">
        <f t="shared" si="21"/>
        <v>25547537.700000007</v>
      </c>
      <c r="S82" s="180">
        <f t="shared" si="21"/>
        <v>7444524.51</v>
      </c>
      <c r="T82" s="180">
        <f t="shared" si="21"/>
        <v>1092471</v>
      </c>
      <c r="U82" s="180">
        <f t="shared" si="21"/>
        <v>1011161.5</v>
      </c>
      <c r="V82" s="180">
        <f t="shared" si="21"/>
        <v>1027944</v>
      </c>
      <c r="W82" s="180">
        <f t="shared" si="21"/>
        <v>0</v>
      </c>
      <c r="X82" s="180">
        <f t="shared" si="21"/>
        <v>0</v>
      </c>
      <c r="Y82" s="332"/>
      <c r="Z82" s="332"/>
      <c r="AA82" s="332"/>
      <c r="AB82" s="332"/>
      <c r="AC82" s="157"/>
      <c r="AD82" s="171"/>
      <c r="AE82" s="333"/>
      <c r="AF82" s="171"/>
      <c r="AG82" s="334"/>
      <c r="AH82" s="171"/>
      <c r="AI82" s="334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</row>
    <row r="83" spans="1:113" s="335" customFormat="1" ht="19.5" customHeight="1">
      <c r="A83" s="165" t="s">
        <v>13</v>
      </c>
      <c r="B83" s="165"/>
      <c r="C83" s="165"/>
      <c r="D83" s="165"/>
      <c r="E83" s="165"/>
      <c r="F83" s="165"/>
      <c r="G83" s="165"/>
      <c r="H83" s="165"/>
      <c r="I83" s="241">
        <f>SUMIF($C$3:$C$80,"N",I3:I80)</f>
        <v>26.575000000000003</v>
      </c>
      <c r="J83" s="165" t="s">
        <v>178</v>
      </c>
      <c r="K83" s="237">
        <f>SUMIF($C$3:$C$80,"N",K3:K80)</f>
        <v>67862949</v>
      </c>
      <c r="L83" s="237">
        <f>SUMIF($C$3:$C$80,"N",L3:L80)</f>
        <v>36187848.82999999</v>
      </c>
      <c r="M83" s="237">
        <f>SUMIF($C$3:$C$80,"N",M3:M80)</f>
        <v>31675100.170000013</v>
      </c>
      <c r="N83" s="242" t="s">
        <v>178</v>
      </c>
      <c r="O83" s="237">
        <f aca="true" t="shared" si="22" ref="O83:X83">SUMIF($C$3:$C$80,"N",O3:O80)</f>
        <v>0</v>
      </c>
      <c r="P83" s="237">
        <f t="shared" si="22"/>
        <v>0</v>
      </c>
      <c r="Q83" s="237">
        <f t="shared" si="22"/>
        <v>0</v>
      </c>
      <c r="R83" s="237">
        <f t="shared" si="22"/>
        <v>36187848.82999999</v>
      </c>
      <c r="S83" s="237">
        <f t="shared" si="22"/>
        <v>0</v>
      </c>
      <c r="T83" s="237">
        <f t="shared" si="22"/>
        <v>0</v>
      </c>
      <c r="U83" s="237">
        <f t="shared" si="22"/>
        <v>0</v>
      </c>
      <c r="V83" s="237">
        <f t="shared" si="22"/>
        <v>0</v>
      </c>
      <c r="W83" s="237">
        <f t="shared" si="22"/>
        <v>0</v>
      </c>
      <c r="X83" s="237">
        <f t="shared" si="22"/>
        <v>0</v>
      </c>
      <c r="Y83" s="332"/>
      <c r="Z83" s="332"/>
      <c r="AA83" s="332"/>
      <c r="AB83" s="332"/>
      <c r="AC83" s="157"/>
      <c r="AD83" s="171"/>
      <c r="AE83" s="333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</row>
    <row r="84" spans="1:113" s="336" customFormat="1" ht="19.5" customHeight="1">
      <c r="A84" s="248" t="s">
        <v>14</v>
      </c>
      <c r="B84" s="248"/>
      <c r="C84" s="248"/>
      <c r="D84" s="248"/>
      <c r="E84" s="248"/>
      <c r="F84" s="248"/>
      <c r="G84" s="248"/>
      <c r="H84" s="248"/>
      <c r="I84" s="247">
        <f>SUMIF($C$3:$C$80,"W",I3:I80)</f>
        <v>16.635</v>
      </c>
      <c r="J84" s="248" t="s">
        <v>178</v>
      </c>
      <c r="K84" s="180">
        <f>SUMIF($C$3:$C$80,"W",K3:K80)</f>
        <v>61496242</v>
      </c>
      <c r="L84" s="180">
        <f>SUMIF($C$3:$C$80,"W",L3:L80)</f>
        <v>30864381.65</v>
      </c>
      <c r="M84" s="180">
        <f>SUMIF($C$3:$C$80,"W",M3:M80)</f>
        <v>30631860.35</v>
      </c>
      <c r="N84" s="249" t="s">
        <v>178</v>
      </c>
      <c r="O84" s="180">
        <f aca="true" t="shared" si="23" ref="O84:X84">SUMIF($C$3:$C$80,"W",O3:O80)</f>
        <v>0</v>
      </c>
      <c r="P84" s="180">
        <f t="shared" si="23"/>
        <v>0</v>
      </c>
      <c r="Q84" s="180">
        <f t="shared" si="23"/>
        <v>0</v>
      </c>
      <c r="R84" s="180">
        <f t="shared" si="23"/>
        <v>13295659.85</v>
      </c>
      <c r="S84" s="180">
        <f t="shared" si="23"/>
        <v>17568721.8</v>
      </c>
      <c r="T84" s="180">
        <f t="shared" si="23"/>
        <v>0</v>
      </c>
      <c r="U84" s="180">
        <f t="shared" si="23"/>
        <v>0</v>
      </c>
      <c r="V84" s="180">
        <f t="shared" si="23"/>
        <v>0</v>
      </c>
      <c r="W84" s="180">
        <f t="shared" si="23"/>
        <v>0</v>
      </c>
      <c r="X84" s="180">
        <f t="shared" si="23"/>
        <v>0</v>
      </c>
      <c r="Y84" s="332"/>
      <c r="Z84" s="332"/>
      <c r="AA84" s="332"/>
      <c r="AB84" s="332"/>
      <c r="AC84" s="157"/>
      <c r="AD84" s="171"/>
      <c r="AE84" s="333"/>
      <c r="AF84" s="171"/>
      <c r="AG84" s="171"/>
      <c r="AH84" s="171"/>
      <c r="AI84" s="334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</row>
    <row r="85" spans="10:31" s="157" customFormat="1" ht="12.75">
      <c r="J85" s="156"/>
      <c r="K85" s="283"/>
      <c r="L85" s="283"/>
      <c r="M85" s="283"/>
      <c r="Y85" s="337"/>
      <c r="Z85" s="337"/>
      <c r="AA85" s="337"/>
      <c r="AB85" s="337"/>
      <c r="AE85" s="333"/>
    </row>
    <row r="86" spans="1:113" s="335" customFormat="1" ht="12.75">
      <c r="A86" s="338" t="s">
        <v>179</v>
      </c>
      <c r="B86" s="280"/>
      <c r="C86" s="280"/>
      <c r="D86" s="280"/>
      <c r="E86" s="339"/>
      <c r="F86" s="339"/>
      <c r="G86" s="340"/>
      <c r="H86" s="339"/>
      <c r="I86" s="339"/>
      <c r="J86" s="339"/>
      <c r="K86" s="341"/>
      <c r="L86" s="342"/>
      <c r="M86" s="343"/>
      <c r="N86" s="344"/>
      <c r="O86" s="345"/>
      <c r="P86" s="340"/>
      <c r="Q86" s="346"/>
      <c r="R86" s="340"/>
      <c r="S86" s="340"/>
      <c r="T86" s="340"/>
      <c r="U86" s="340"/>
      <c r="V86" s="340"/>
      <c r="W86" s="340"/>
      <c r="X86" s="347"/>
      <c r="Y86" s="337"/>
      <c r="Z86" s="337"/>
      <c r="AA86" s="337"/>
      <c r="AB86" s="337"/>
      <c r="AC86" s="157"/>
      <c r="AD86" s="171"/>
      <c r="AE86" s="333"/>
      <c r="AF86" s="171"/>
      <c r="AG86" s="171"/>
      <c r="AH86" s="171"/>
      <c r="AI86" s="334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</row>
    <row r="87" spans="1:113" s="335" customFormat="1" ht="12.75">
      <c r="A87" s="348" t="s">
        <v>180</v>
      </c>
      <c r="B87" s="280"/>
      <c r="C87" s="280"/>
      <c r="D87" s="280"/>
      <c r="E87" s="339"/>
      <c r="F87" s="339"/>
      <c r="G87" s="340"/>
      <c r="H87" s="339"/>
      <c r="I87" s="339"/>
      <c r="J87" s="339"/>
      <c r="K87" s="343"/>
      <c r="L87" s="343"/>
      <c r="M87" s="343"/>
      <c r="N87" s="344"/>
      <c r="O87" s="340"/>
      <c r="P87" s="345"/>
      <c r="Q87" s="349"/>
      <c r="R87" s="345"/>
      <c r="S87" s="345"/>
      <c r="T87" s="340"/>
      <c r="U87" s="340"/>
      <c r="V87" s="340"/>
      <c r="W87" s="340"/>
      <c r="X87" s="347"/>
      <c r="Y87" s="337"/>
      <c r="Z87" s="337"/>
      <c r="AA87" s="337"/>
      <c r="AB87" s="337"/>
      <c r="AC87" s="157"/>
      <c r="AD87" s="171"/>
      <c r="AE87" s="333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</row>
    <row r="88" spans="1:113" s="335" customFormat="1" ht="12.75">
      <c r="A88" s="338" t="s">
        <v>181</v>
      </c>
      <c r="B88" s="280"/>
      <c r="C88" s="280"/>
      <c r="D88" s="280"/>
      <c r="E88" s="339"/>
      <c r="F88" s="339"/>
      <c r="G88" s="340"/>
      <c r="H88" s="339"/>
      <c r="I88" s="339"/>
      <c r="J88" s="339"/>
      <c r="K88" s="350"/>
      <c r="L88" s="343"/>
      <c r="M88" s="343"/>
      <c r="N88" s="351"/>
      <c r="O88" s="345"/>
      <c r="P88" s="340"/>
      <c r="Q88" s="349"/>
      <c r="R88" s="340"/>
      <c r="S88" s="345"/>
      <c r="T88" s="340"/>
      <c r="U88" s="340"/>
      <c r="V88" s="340"/>
      <c r="W88" s="340"/>
      <c r="X88" s="347"/>
      <c r="Y88" s="352"/>
      <c r="Z88" s="352"/>
      <c r="AA88" s="352"/>
      <c r="AB88" s="353"/>
      <c r="AC88" s="171"/>
      <c r="AD88" s="171"/>
      <c r="AE88" s="333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</row>
    <row r="89" spans="1:31" ht="12" customHeight="1">
      <c r="A89" s="270" t="s">
        <v>519</v>
      </c>
      <c r="X89" s="354"/>
      <c r="AE89" s="333"/>
    </row>
    <row r="90" spans="1:31" ht="12" customHeight="1">
      <c r="A90" s="270"/>
      <c r="X90" s="354"/>
      <c r="AE90" s="333"/>
    </row>
    <row r="91" spans="1:24" ht="12.75">
      <c r="A91" s="355"/>
      <c r="X91" s="354"/>
    </row>
    <row r="92" spans="10:28" s="157" customFormat="1" ht="12.75">
      <c r="J92" s="156"/>
      <c r="K92" s="283"/>
      <c r="L92" s="356"/>
      <c r="M92" s="357"/>
      <c r="Q92" s="333"/>
      <c r="Y92" s="337"/>
      <c r="Z92" s="337"/>
      <c r="AA92" s="337"/>
      <c r="AB92" s="337"/>
    </row>
    <row r="93" spans="10:28" s="157" customFormat="1" ht="12.75">
      <c r="J93" s="156"/>
      <c r="K93" s="356"/>
      <c r="L93" s="283"/>
      <c r="M93" s="283"/>
      <c r="R93" s="333"/>
      <c r="Y93" s="337"/>
      <c r="Z93" s="337"/>
      <c r="AA93" s="337"/>
      <c r="AB93" s="337"/>
    </row>
    <row r="94" spans="10:28" s="157" customFormat="1" ht="12.75">
      <c r="J94" s="156"/>
      <c r="K94" s="283"/>
      <c r="L94" s="283"/>
      <c r="M94" s="283"/>
      <c r="O94" s="333"/>
      <c r="Y94" s="337"/>
      <c r="Z94" s="337"/>
      <c r="AA94" s="337"/>
      <c r="AB94" s="337"/>
    </row>
    <row r="95" spans="10:28" s="157" customFormat="1" ht="12.75">
      <c r="J95" s="156"/>
      <c r="K95" s="283"/>
      <c r="L95" s="283"/>
      <c r="M95" s="283"/>
      <c r="Y95" s="337"/>
      <c r="Z95" s="337"/>
      <c r="AA95" s="337"/>
      <c r="AB95" s="337"/>
    </row>
    <row r="96" spans="10:28" s="157" customFormat="1" ht="12.75">
      <c r="J96" s="358"/>
      <c r="K96" s="283"/>
      <c r="L96" s="283"/>
      <c r="M96" s="283"/>
      <c r="Y96" s="337"/>
      <c r="Z96" s="337"/>
      <c r="AA96" s="337"/>
      <c r="AB96" s="337"/>
    </row>
    <row r="97" spans="10:28" s="157" customFormat="1" ht="12.75">
      <c r="J97" s="156"/>
      <c r="K97" s="283"/>
      <c r="L97" s="283"/>
      <c r="M97" s="283"/>
      <c r="Y97" s="337"/>
      <c r="Z97" s="337"/>
      <c r="AA97" s="337"/>
      <c r="AB97" s="337"/>
    </row>
    <row r="98" spans="10:28" s="157" customFormat="1" ht="12.75">
      <c r="J98" s="156"/>
      <c r="K98" s="283"/>
      <c r="L98" s="283"/>
      <c r="M98" s="283"/>
      <c r="Y98" s="337"/>
      <c r="Z98" s="337"/>
      <c r="AA98" s="337"/>
      <c r="AB98" s="337"/>
    </row>
    <row r="99" spans="10:28" s="157" customFormat="1" ht="12.75">
      <c r="J99" s="156"/>
      <c r="K99" s="283"/>
      <c r="L99" s="283"/>
      <c r="M99" s="283"/>
      <c r="Y99" s="337"/>
      <c r="Z99" s="337"/>
      <c r="AA99" s="337"/>
      <c r="AB99" s="337"/>
    </row>
    <row r="100" spans="10:28" s="157" customFormat="1" ht="12.75">
      <c r="J100" s="156"/>
      <c r="K100" s="283"/>
      <c r="L100" s="283"/>
      <c r="M100" s="283"/>
      <c r="Y100" s="337"/>
      <c r="Z100" s="337"/>
      <c r="AA100" s="337"/>
      <c r="AB100" s="337"/>
    </row>
    <row r="101" spans="10:28" s="157" customFormat="1" ht="12.75">
      <c r="J101" s="156"/>
      <c r="K101" s="283"/>
      <c r="L101" s="283"/>
      <c r="M101" s="283"/>
      <c r="Y101" s="337"/>
      <c r="Z101" s="337"/>
      <c r="AA101" s="337"/>
      <c r="AB101" s="337"/>
    </row>
    <row r="102" spans="10:28" s="157" customFormat="1" ht="12.75">
      <c r="J102" s="156"/>
      <c r="K102" s="283"/>
      <c r="L102" s="283"/>
      <c r="M102" s="283"/>
      <c r="Y102" s="337"/>
      <c r="Z102" s="337"/>
      <c r="AA102" s="337"/>
      <c r="AB102" s="337"/>
    </row>
    <row r="103" spans="10:28" s="157" customFormat="1" ht="12.75">
      <c r="J103" s="156"/>
      <c r="K103" s="283"/>
      <c r="L103" s="283"/>
      <c r="M103" s="283"/>
      <c r="Y103" s="337"/>
      <c r="Z103" s="337"/>
      <c r="AA103" s="337"/>
      <c r="AB103" s="337"/>
    </row>
    <row r="104" spans="10:28" s="157" customFormat="1" ht="12.75">
      <c r="J104" s="156"/>
      <c r="K104" s="283"/>
      <c r="L104" s="283"/>
      <c r="M104" s="283"/>
      <c r="Y104" s="337"/>
      <c r="Z104" s="337"/>
      <c r="AA104" s="337"/>
      <c r="AB104" s="337"/>
    </row>
    <row r="105" spans="10:28" s="157" customFormat="1" ht="12.75">
      <c r="J105" s="156"/>
      <c r="K105" s="283"/>
      <c r="L105" s="283"/>
      <c r="M105" s="283"/>
      <c r="Y105" s="337"/>
      <c r="Z105" s="337"/>
      <c r="AA105" s="337"/>
      <c r="AB105" s="337"/>
    </row>
    <row r="106" spans="10:28" s="157" customFormat="1" ht="12.75">
      <c r="J106" s="156"/>
      <c r="K106" s="283"/>
      <c r="L106" s="283"/>
      <c r="M106" s="283"/>
      <c r="Y106" s="337"/>
      <c r="Z106" s="337"/>
      <c r="AA106" s="337"/>
      <c r="AB106" s="337"/>
    </row>
    <row r="107" spans="10:28" s="157" customFormat="1" ht="12.75">
      <c r="J107" s="156"/>
      <c r="K107" s="283"/>
      <c r="L107" s="283"/>
      <c r="M107" s="283"/>
      <c r="Y107" s="337"/>
      <c r="Z107" s="337"/>
      <c r="AA107" s="337"/>
      <c r="AB107" s="337"/>
    </row>
    <row r="108" spans="10:28" s="157" customFormat="1" ht="12.75">
      <c r="J108" s="156"/>
      <c r="K108" s="283"/>
      <c r="L108" s="283"/>
      <c r="M108" s="283"/>
      <c r="Y108" s="337"/>
      <c r="Z108" s="337"/>
      <c r="AA108" s="337"/>
      <c r="AB108" s="337"/>
    </row>
    <row r="109" spans="10:28" s="157" customFormat="1" ht="12.75">
      <c r="J109" s="156"/>
      <c r="K109" s="283"/>
      <c r="L109" s="283"/>
      <c r="M109" s="283"/>
      <c r="Y109" s="337"/>
      <c r="Z109" s="337"/>
      <c r="AA109" s="337"/>
      <c r="AB109" s="337"/>
    </row>
    <row r="110" spans="10:28" s="157" customFormat="1" ht="12.75">
      <c r="J110" s="156"/>
      <c r="K110" s="283"/>
      <c r="L110" s="283"/>
      <c r="M110" s="283"/>
      <c r="Y110" s="337"/>
      <c r="Z110" s="337"/>
      <c r="AA110" s="337"/>
      <c r="AB110" s="337"/>
    </row>
    <row r="111" spans="10:28" s="157" customFormat="1" ht="12.75">
      <c r="J111" s="156"/>
      <c r="K111" s="283"/>
      <c r="L111" s="283"/>
      <c r="M111" s="283"/>
      <c r="Y111" s="337"/>
      <c r="Z111" s="337"/>
      <c r="AA111" s="337"/>
      <c r="AB111" s="337"/>
    </row>
    <row r="112" spans="10:28" s="157" customFormat="1" ht="12.75">
      <c r="J112" s="156"/>
      <c r="K112" s="283"/>
      <c r="L112" s="283"/>
      <c r="M112" s="283"/>
      <c r="Y112" s="337"/>
      <c r="Z112" s="337"/>
      <c r="AA112" s="337"/>
      <c r="AB112" s="337"/>
    </row>
    <row r="113" spans="10:28" s="157" customFormat="1" ht="12.75">
      <c r="J113" s="156"/>
      <c r="K113" s="283"/>
      <c r="L113" s="283"/>
      <c r="M113" s="283"/>
      <c r="Y113" s="337"/>
      <c r="Z113" s="337"/>
      <c r="AA113" s="337"/>
      <c r="AB113" s="337"/>
    </row>
    <row r="114" spans="10:28" s="157" customFormat="1" ht="12.75">
      <c r="J114" s="156"/>
      <c r="K114" s="283"/>
      <c r="L114" s="283"/>
      <c r="M114" s="283"/>
      <c r="Y114" s="337"/>
      <c r="Z114" s="337"/>
      <c r="AA114" s="337"/>
      <c r="AB114" s="337"/>
    </row>
    <row r="115" spans="10:28" s="157" customFormat="1" ht="12.75">
      <c r="J115" s="156"/>
      <c r="K115" s="283"/>
      <c r="L115" s="283"/>
      <c r="M115" s="283"/>
      <c r="Y115" s="337"/>
      <c r="Z115" s="337"/>
      <c r="AA115" s="337"/>
      <c r="AB115" s="337"/>
    </row>
    <row r="116" spans="10:28" s="157" customFormat="1" ht="12.75">
      <c r="J116" s="156"/>
      <c r="K116" s="283"/>
      <c r="L116" s="283"/>
      <c r="M116" s="283"/>
      <c r="Y116" s="337"/>
      <c r="Z116" s="337"/>
      <c r="AA116" s="337"/>
      <c r="AB116" s="337"/>
    </row>
    <row r="117" spans="10:28" s="157" customFormat="1" ht="12.75">
      <c r="J117" s="156"/>
      <c r="K117" s="283"/>
      <c r="L117" s="283"/>
      <c r="M117" s="283"/>
      <c r="Y117" s="337"/>
      <c r="Z117" s="337"/>
      <c r="AA117" s="337"/>
      <c r="AB117" s="337"/>
    </row>
    <row r="118" spans="10:28" s="157" customFormat="1" ht="12.75">
      <c r="J118" s="156"/>
      <c r="K118" s="283"/>
      <c r="L118" s="283"/>
      <c r="M118" s="283"/>
      <c r="Y118" s="337"/>
      <c r="Z118" s="337"/>
      <c r="AA118" s="337"/>
      <c r="AB118" s="337"/>
    </row>
    <row r="119" spans="10:28" s="157" customFormat="1" ht="12.75">
      <c r="J119" s="156"/>
      <c r="K119" s="283"/>
      <c r="L119" s="283"/>
      <c r="M119" s="283"/>
      <c r="Y119" s="337"/>
      <c r="Z119" s="337"/>
      <c r="AA119" s="337"/>
      <c r="AB119" s="337"/>
    </row>
    <row r="120" spans="10:28" s="157" customFormat="1" ht="12.75">
      <c r="J120" s="156"/>
      <c r="K120" s="283"/>
      <c r="L120" s="283"/>
      <c r="M120" s="283"/>
      <c r="Y120" s="337"/>
      <c r="Z120" s="337"/>
      <c r="AA120" s="337"/>
      <c r="AB120" s="337"/>
    </row>
    <row r="121" spans="10:28" s="157" customFormat="1" ht="12.75">
      <c r="J121" s="156"/>
      <c r="K121" s="283"/>
      <c r="L121" s="283"/>
      <c r="M121" s="283"/>
      <c r="Y121" s="337"/>
      <c r="Z121" s="337"/>
      <c r="AA121" s="337"/>
      <c r="AB121" s="337"/>
    </row>
    <row r="122" spans="10:28" s="157" customFormat="1" ht="12.75">
      <c r="J122" s="156"/>
      <c r="K122" s="283"/>
      <c r="L122" s="283"/>
      <c r="M122" s="283"/>
      <c r="Y122" s="337"/>
      <c r="Z122" s="337"/>
      <c r="AA122" s="337"/>
      <c r="AB122" s="337"/>
    </row>
    <row r="123" spans="10:28" s="157" customFormat="1" ht="12.75">
      <c r="J123" s="156"/>
      <c r="K123" s="283"/>
      <c r="L123" s="283"/>
      <c r="M123" s="283"/>
      <c r="Y123" s="337"/>
      <c r="Z123" s="337"/>
      <c r="AA123" s="337"/>
      <c r="AB123" s="337"/>
    </row>
    <row r="124" spans="10:28" s="157" customFormat="1" ht="12.75">
      <c r="J124" s="156"/>
      <c r="K124" s="283"/>
      <c r="L124" s="283"/>
      <c r="M124" s="283"/>
      <c r="Y124" s="337"/>
      <c r="Z124" s="337"/>
      <c r="AA124" s="337"/>
      <c r="AB124" s="337"/>
    </row>
    <row r="125" spans="10:28" s="157" customFormat="1" ht="12.75">
      <c r="J125" s="156"/>
      <c r="K125" s="283"/>
      <c r="L125" s="283"/>
      <c r="M125" s="283"/>
      <c r="Y125" s="337"/>
      <c r="Z125" s="337"/>
      <c r="AA125" s="337"/>
      <c r="AB125" s="337"/>
    </row>
    <row r="126" spans="10:28" s="157" customFormat="1" ht="12.75">
      <c r="J126" s="156"/>
      <c r="K126" s="283"/>
      <c r="L126" s="283"/>
      <c r="M126" s="283"/>
      <c r="Y126" s="337"/>
      <c r="Z126" s="337"/>
      <c r="AA126" s="337"/>
      <c r="AB126" s="337"/>
    </row>
    <row r="127" spans="10:28" s="157" customFormat="1" ht="12.75">
      <c r="J127" s="156"/>
      <c r="K127" s="283"/>
      <c r="L127" s="283"/>
      <c r="M127" s="283"/>
      <c r="Y127" s="337"/>
      <c r="Z127" s="337"/>
      <c r="AA127" s="337"/>
      <c r="AB127" s="337"/>
    </row>
    <row r="128" spans="10:28" s="157" customFormat="1" ht="12.75">
      <c r="J128" s="156"/>
      <c r="K128" s="283"/>
      <c r="L128" s="283"/>
      <c r="M128" s="283"/>
      <c r="Y128" s="337"/>
      <c r="Z128" s="337"/>
      <c r="AA128" s="337"/>
      <c r="AB128" s="337"/>
    </row>
    <row r="129" spans="10:28" s="157" customFormat="1" ht="12.75">
      <c r="J129" s="156"/>
      <c r="K129" s="283"/>
      <c r="L129" s="283"/>
      <c r="M129" s="283"/>
      <c r="Y129" s="337"/>
      <c r="Z129" s="337"/>
      <c r="AA129" s="337"/>
      <c r="AB129" s="337"/>
    </row>
    <row r="130" spans="10:28" s="157" customFormat="1" ht="12.75">
      <c r="J130" s="156"/>
      <c r="K130" s="283"/>
      <c r="L130" s="283"/>
      <c r="M130" s="283"/>
      <c r="Y130" s="337"/>
      <c r="Z130" s="337"/>
      <c r="AA130" s="337"/>
      <c r="AB130" s="337"/>
    </row>
    <row r="131" spans="10:28" s="157" customFormat="1" ht="12.75">
      <c r="J131" s="156"/>
      <c r="K131" s="283"/>
      <c r="L131" s="283"/>
      <c r="M131" s="283"/>
      <c r="Y131" s="337"/>
      <c r="Z131" s="337"/>
      <c r="AA131" s="337"/>
      <c r="AB131" s="337"/>
    </row>
    <row r="132" spans="10:28" s="157" customFormat="1" ht="12.75">
      <c r="J132" s="156"/>
      <c r="K132" s="283"/>
      <c r="L132" s="283"/>
      <c r="M132" s="283"/>
      <c r="Y132" s="337"/>
      <c r="Z132" s="337"/>
      <c r="AA132" s="337"/>
      <c r="AB132" s="337"/>
    </row>
    <row r="133" spans="10:28" s="157" customFormat="1" ht="12.75">
      <c r="J133" s="156"/>
      <c r="K133" s="283"/>
      <c r="L133" s="283"/>
      <c r="M133" s="283"/>
      <c r="Y133" s="337"/>
      <c r="Z133" s="337"/>
      <c r="AA133" s="337"/>
      <c r="AB133" s="337"/>
    </row>
    <row r="134" spans="10:28" s="157" customFormat="1" ht="12.75">
      <c r="J134" s="156"/>
      <c r="K134" s="283"/>
      <c r="L134" s="283"/>
      <c r="M134" s="283"/>
      <c r="Y134" s="337"/>
      <c r="Z134" s="337"/>
      <c r="AA134" s="337"/>
      <c r="AB134" s="337"/>
    </row>
    <row r="135" spans="10:28" s="157" customFormat="1" ht="12.75">
      <c r="J135" s="156"/>
      <c r="K135" s="283"/>
      <c r="L135" s="283"/>
      <c r="M135" s="283"/>
      <c r="Y135" s="337"/>
      <c r="Z135" s="337"/>
      <c r="AA135" s="337"/>
      <c r="AB135" s="337"/>
    </row>
    <row r="136" spans="10:28" s="157" customFormat="1" ht="12.75">
      <c r="J136" s="156"/>
      <c r="K136" s="283"/>
      <c r="L136" s="283"/>
      <c r="M136" s="283"/>
      <c r="Y136" s="337"/>
      <c r="Z136" s="337"/>
      <c r="AA136" s="337"/>
      <c r="AB136" s="337"/>
    </row>
    <row r="137" spans="10:28" s="157" customFormat="1" ht="12.75">
      <c r="J137" s="156"/>
      <c r="K137" s="283"/>
      <c r="L137" s="283"/>
      <c r="M137" s="283"/>
      <c r="Y137" s="337"/>
      <c r="Z137" s="337"/>
      <c r="AA137" s="337"/>
      <c r="AB137" s="337"/>
    </row>
    <row r="138" spans="10:28" s="157" customFormat="1" ht="12.75">
      <c r="J138" s="156"/>
      <c r="K138" s="283"/>
      <c r="L138" s="283"/>
      <c r="M138" s="283"/>
      <c r="Y138" s="337"/>
      <c r="Z138" s="337"/>
      <c r="AA138" s="337"/>
      <c r="AB138" s="337"/>
    </row>
    <row r="139" spans="10:28" s="157" customFormat="1" ht="12.75">
      <c r="J139" s="156"/>
      <c r="K139" s="283"/>
      <c r="L139" s="283"/>
      <c r="M139" s="283"/>
      <c r="Y139" s="337"/>
      <c r="Z139" s="337"/>
      <c r="AA139" s="337"/>
      <c r="AB139" s="337"/>
    </row>
    <row r="140" spans="10:28" s="157" customFormat="1" ht="12.75">
      <c r="J140" s="156"/>
      <c r="K140" s="283"/>
      <c r="L140" s="283"/>
      <c r="M140" s="283"/>
      <c r="Y140" s="337"/>
      <c r="Z140" s="337"/>
      <c r="AA140" s="337"/>
      <c r="AB140" s="337"/>
    </row>
    <row r="141" spans="10:28" s="157" customFormat="1" ht="12.75">
      <c r="J141" s="156"/>
      <c r="K141" s="283"/>
      <c r="L141" s="283"/>
      <c r="M141" s="283"/>
      <c r="Y141" s="337"/>
      <c r="Z141" s="337"/>
      <c r="AA141" s="337"/>
      <c r="AB141" s="337"/>
    </row>
    <row r="142" spans="10:28" s="157" customFormat="1" ht="12.75">
      <c r="J142" s="156"/>
      <c r="K142" s="283"/>
      <c r="L142" s="283"/>
      <c r="M142" s="283"/>
      <c r="Y142" s="337"/>
      <c r="Z142" s="337"/>
      <c r="AA142" s="337"/>
      <c r="AB142" s="337"/>
    </row>
    <row r="143" spans="10:28" s="157" customFormat="1" ht="12.75">
      <c r="J143" s="156"/>
      <c r="K143" s="283"/>
      <c r="L143" s="283"/>
      <c r="M143" s="283"/>
      <c r="Y143" s="337"/>
      <c r="Z143" s="337"/>
      <c r="AA143" s="337"/>
      <c r="AB143" s="337"/>
    </row>
    <row r="144" spans="10:28" s="157" customFormat="1" ht="12.75">
      <c r="J144" s="156"/>
      <c r="K144" s="283"/>
      <c r="L144" s="283"/>
      <c r="M144" s="283"/>
      <c r="Y144" s="337"/>
      <c r="Z144" s="337"/>
      <c r="AA144" s="337"/>
      <c r="AB144" s="337"/>
    </row>
    <row r="145" spans="10:28" s="157" customFormat="1" ht="12.75">
      <c r="J145" s="156"/>
      <c r="K145" s="283"/>
      <c r="L145" s="283"/>
      <c r="M145" s="283"/>
      <c r="Y145" s="337"/>
      <c r="Z145" s="337"/>
      <c r="AA145" s="337"/>
      <c r="AB145" s="337"/>
    </row>
    <row r="146" spans="10:28" s="157" customFormat="1" ht="12.75">
      <c r="J146" s="156"/>
      <c r="K146" s="283"/>
      <c r="L146" s="283"/>
      <c r="M146" s="283"/>
      <c r="Y146" s="337"/>
      <c r="Z146" s="337"/>
      <c r="AA146" s="337"/>
      <c r="AB146" s="337"/>
    </row>
    <row r="147" spans="10:28" s="157" customFormat="1" ht="12.75">
      <c r="J147" s="156"/>
      <c r="K147" s="283"/>
      <c r="L147" s="283"/>
      <c r="M147" s="283"/>
      <c r="Y147" s="337"/>
      <c r="Z147" s="337"/>
      <c r="AA147" s="337"/>
      <c r="AB147" s="337"/>
    </row>
    <row r="148" spans="10:28" s="157" customFormat="1" ht="12.75">
      <c r="J148" s="156"/>
      <c r="K148" s="283"/>
      <c r="L148" s="283"/>
      <c r="M148" s="283"/>
      <c r="Y148" s="337"/>
      <c r="Z148" s="337"/>
      <c r="AA148" s="337"/>
      <c r="AB148" s="337"/>
    </row>
    <row r="149" spans="10:28" s="157" customFormat="1" ht="12.75">
      <c r="J149" s="156"/>
      <c r="K149" s="283"/>
      <c r="L149" s="283"/>
      <c r="M149" s="283"/>
      <c r="Y149" s="337"/>
      <c r="Z149" s="337"/>
      <c r="AA149" s="337"/>
      <c r="AB149" s="337"/>
    </row>
    <row r="150" spans="10:28" s="157" customFormat="1" ht="12.75">
      <c r="J150" s="156"/>
      <c r="K150" s="283"/>
      <c r="L150" s="283"/>
      <c r="M150" s="283"/>
      <c r="Y150" s="337"/>
      <c r="Z150" s="337"/>
      <c r="AA150" s="337"/>
      <c r="AB150" s="337"/>
    </row>
    <row r="151" spans="10:28" s="157" customFormat="1" ht="12.75">
      <c r="J151" s="156"/>
      <c r="K151" s="283"/>
      <c r="L151" s="283"/>
      <c r="M151" s="283"/>
      <c r="Y151" s="337"/>
      <c r="Z151" s="337"/>
      <c r="AA151" s="337"/>
      <c r="AB151" s="337"/>
    </row>
    <row r="152" spans="10:28" s="157" customFormat="1" ht="12.75">
      <c r="J152" s="156"/>
      <c r="K152" s="283"/>
      <c r="L152" s="283"/>
      <c r="M152" s="283"/>
      <c r="Y152" s="337"/>
      <c r="Z152" s="337"/>
      <c r="AA152" s="337"/>
      <c r="AB152" s="337"/>
    </row>
    <row r="153" spans="10:28" s="157" customFormat="1" ht="12.75">
      <c r="J153" s="156"/>
      <c r="K153" s="283"/>
      <c r="L153" s="283"/>
      <c r="M153" s="283"/>
      <c r="Y153" s="337"/>
      <c r="Z153" s="337"/>
      <c r="AA153" s="337"/>
      <c r="AB153" s="337"/>
    </row>
    <row r="154" spans="10:28" s="157" customFormat="1" ht="12.75">
      <c r="J154" s="156"/>
      <c r="K154" s="283"/>
      <c r="L154" s="283"/>
      <c r="M154" s="283"/>
      <c r="Y154" s="337"/>
      <c r="Z154" s="337"/>
      <c r="AA154" s="337"/>
      <c r="AB154" s="337"/>
    </row>
    <row r="155" spans="10:28" s="157" customFormat="1" ht="12.75">
      <c r="J155" s="156"/>
      <c r="K155" s="283"/>
      <c r="L155" s="283"/>
      <c r="M155" s="283"/>
      <c r="Y155" s="337"/>
      <c r="Z155" s="337"/>
      <c r="AA155" s="337"/>
      <c r="AB155" s="337"/>
    </row>
    <row r="156" spans="10:28" s="157" customFormat="1" ht="12.75">
      <c r="J156" s="156"/>
      <c r="K156" s="283"/>
      <c r="L156" s="283"/>
      <c r="M156" s="283"/>
      <c r="Y156" s="337"/>
      <c r="Z156" s="337"/>
      <c r="AA156" s="337"/>
      <c r="AB156" s="337"/>
    </row>
    <row r="157" spans="10:28" s="157" customFormat="1" ht="12.75">
      <c r="J157" s="156"/>
      <c r="K157" s="283"/>
      <c r="L157" s="283"/>
      <c r="M157" s="283"/>
      <c r="Y157" s="337"/>
      <c r="Z157" s="337"/>
      <c r="AA157" s="337"/>
      <c r="AB157" s="337"/>
    </row>
    <row r="158" spans="10:28" s="157" customFormat="1" ht="12.75">
      <c r="J158" s="156"/>
      <c r="K158" s="283"/>
      <c r="L158" s="283"/>
      <c r="M158" s="283"/>
      <c r="Y158" s="337"/>
      <c r="Z158" s="337"/>
      <c r="AA158" s="337"/>
      <c r="AB158" s="337"/>
    </row>
    <row r="159" spans="10:28" s="157" customFormat="1" ht="12.75">
      <c r="J159" s="156"/>
      <c r="K159" s="283"/>
      <c r="L159" s="283"/>
      <c r="M159" s="283"/>
      <c r="Y159" s="337"/>
      <c r="Z159" s="337"/>
      <c r="AA159" s="337"/>
      <c r="AB159" s="337"/>
    </row>
    <row r="160" spans="10:28" s="157" customFormat="1" ht="12.75">
      <c r="J160" s="156"/>
      <c r="K160" s="283"/>
      <c r="L160" s="283"/>
      <c r="M160" s="283"/>
      <c r="Y160" s="337"/>
      <c r="Z160" s="337"/>
      <c r="AA160" s="337"/>
      <c r="AB160" s="337"/>
    </row>
    <row r="161" spans="10:28" s="157" customFormat="1" ht="12.75">
      <c r="J161" s="156"/>
      <c r="K161" s="283"/>
      <c r="L161" s="283"/>
      <c r="M161" s="283"/>
      <c r="Y161" s="337"/>
      <c r="Z161" s="337"/>
      <c r="AA161" s="337"/>
      <c r="AB161" s="337"/>
    </row>
    <row r="162" spans="10:28" s="157" customFormat="1" ht="12.75">
      <c r="J162" s="156"/>
      <c r="K162" s="283"/>
      <c r="L162" s="283"/>
      <c r="M162" s="283"/>
      <c r="Y162" s="337"/>
      <c r="Z162" s="337"/>
      <c r="AA162" s="337"/>
      <c r="AB162" s="337"/>
    </row>
    <row r="163" spans="10:28" s="157" customFormat="1" ht="12.75">
      <c r="J163" s="156"/>
      <c r="K163" s="283"/>
      <c r="L163" s="283"/>
      <c r="M163" s="283"/>
      <c r="Y163" s="337"/>
      <c r="Z163" s="337"/>
      <c r="AA163" s="337"/>
      <c r="AB163" s="337"/>
    </row>
    <row r="164" spans="10:28" s="157" customFormat="1" ht="12.75">
      <c r="J164" s="156"/>
      <c r="K164" s="283"/>
      <c r="L164" s="283"/>
      <c r="M164" s="283"/>
      <c r="Y164" s="337"/>
      <c r="Z164" s="337"/>
      <c r="AA164" s="337"/>
      <c r="AB164" s="337"/>
    </row>
    <row r="165" spans="10:28" s="157" customFormat="1" ht="12.75">
      <c r="J165" s="156"/>
      <c r="K165" s="283"/>
      <c r="L165" s="283"/>
      <c r="M165" s="283"/>
      <c r="Y165" s="337"/>
      <c r="Z165" s="337"/>
      <c r="AA165" s="337"/>
      <c r="AB165" s="337"/>
    </row>
    <row r="166" spans="10:28" s="157" customFormat="1" ht="12.75">
      <c r="J166" s="156"/>
      <c r="K166" s="283"/>
      <c r="L166" s="283"/>
      <c r="M166" s="283"/>
      <c r="Y166" s="337"/>
      <c r="Z166" s="337"/>
      <c r="AA166" s="337"/>
      <c r="AB166" s="337"/>
    </row>
    <row r="167" spans="10:28" s="157" customFormat="1" ht="12.75">
      <c r="J167" s="156"/>
      <c r="K167" s="283"/>
      <c r="L167" s="283"/>
      <c r="M167" s="283"/>
      <c r="Y167" s="337"/>
      <c r="Z167" s="337"/>
      <c r="AA167" s="337"/>
      <c r="AB167" s="337"/>
    </row>
    <row r="168" spans="10:28" s="157" customFormat="1" ht="12.75">
      <c r="J168" s="156"/>
      <c r="K168" s="283"/>
      <c r="L168" s="283"/>
      <c r="M168" s="283"/>
      <c r="Y168" s="337"/>
      <c r="Z168" s="337"/>
      <c r="AA168" s="337"/>
      <c r="AB168" s="337"/>
    </row>
    <row r="169" spans="10:28" s="157" customFormat="1" ht="12.75">
      <c r="J169" s="156"/>
      <c r="K169" s="283"/>
      <c r="L169" s="283"/>
      <c r="M169" s="283"/>
      <c r="Y169" s="337"/>
      <c r="Z169" s="337"/>
      <c r="AA169" s="337"/>
      <c r="AB169" s="337"/>
    </row>
    <row r="170" spans="10:28" s="157" customFormat="1" ht="12.75">
      <c r="J170" s="156"/>
      <c r="K170" s="283"/>
      <c r="L170" s="283"/>
      <c r="M170" s="283"/>
      <c r="Y170" s="337"/>
      <c r="Z170" s="337"/>
      <c r="AA170" s="337"/>
      <c r="AB170" s="337"/>
    </row>
    <row r="171" spans="10:28" s="157" customFormat="1" ht="12.75">
      <c r="J171" s="156"/>
      <c r="K171" s="283"/>
      <c r="L171" s="283"/>
      <c r="M171" s="283"/>
      <c r="Y171" s="337"/>
      <c r="Z171" s="337"/>
      <c r="AA171" s="337"/>
      <c r="AB171" s="337"/>
    </row>
    <row r="172" spans="10:28" s="157" customFormat="1" ht="12.75">
      <c r="J172" s="156"/>
      <c r="K172" s="283"/>
      <c r="L172" s="283"/>
      <c r="M172" s="283"/>
      <c r="Y172" s="337"/>
      <c r="Z172" s="337"/>
      <c r="AA172" s="337"/>
      <c r="AB172" s="337"/>
    </row>
    <row r="173" spans="10:28" s="157" customFormat="1" ht="12.75">
      <c r="J173" s="156"/>
      <c r="K173" s="283"/>
      <c r="L173" s="283"/>
      <c r="M173" s="283"/>
      <c r="Y173" s="337"/>
      <c r="Z173" s="337"/>
      <c r="AA173" s="337"/>
      <c r="AB173" s="337"/>
    </row>
    <row r="174" spans="10:28" s="157" customFormat="1" ht="12.75">
      <c r="J174" s="156"/>
      <c r="K174" s="283"/>
      <c r="L174" s="283"/>
      <c r="M174" s="283"/>
      <c r="Y174" s="337"/>
      <c r="Z174" s="337"/>
      <c r="AA174" s="337"/>
      <c r="AB174" s="337"/>
    </row>
    <row r="175" spans="10:28" s="157" customFormat="1" ht="12.75">
      <c r="J175" s="156"/>
      <c r="K175" s="283"/>
      <c r="L175" s="283"/>
      <c r="M175" s="283"/>
      <c r="Y175" s="337"/>
      <c r="Z175" s="337"/>
      <c r="AA175" s="337"/>
      <c r="AB175" s="337"/>
    </row>
    <row r="176" spans="10:28" s="157" customFormat="1" ht="12.75">
      <c r="J176" s="156"/>
      <c r="K176" s="283"/>
      <c r="L176" s="283"/>
      <c r="M176" s="283"/>
      <c r="Y176" s="337"/>
      <c r="Z176" s="337"/>
      <c r="AA176" s="337"/>
      <c r="AB176" s="337"/>
    </row>
    <row r="177" spans="10:28" s="157" customFormat="1" ht="12.75">
      <c r="J177" s="156"/>
      <c r="K177" s="283"/>
      <c r="L177" s="283"/>
      <c r="M177" s="283"/>
      <c r="Y177" s="337"/>
      <c r="Z177" s="337"/>
      <c r="AA177" s="337"/>
      <c r="AB177" s="337"/>
    </row>
    <row r="178" spans="10:28" s="157" customFormat="1" ht="12.75">
      <c r="J178" s="156"/>
      <c r="K178" s="283"/>
      <c r="L178" s="283"/>
      <c r="M178" s="283"/>
      <c r="Y178" s="337"/>
      <c r="Z178" s="337"/>
      <c r="AA178" s="337"/>
      <c r="AB178" s="337"/>
    </row>
    <row r="179" spans="10:28" s="157" customFormat="1" ht="12.75">
      <c r="J179" s="156"/>
      <c r="K179" s="283"/>
      <c r="L179" s="283"/>
      <c r="M179" s="283"/>
      <c r="Y179" s="337"/>
      <c r="Z179" s="337"/>
      <c r="AA179" s="337"/>
      <c r="AB179" s="337"/>
    </row>
    <row r="180" spans="10:28" s="157" customFormat="1" ht="12.75">
      <c r="J180" s="156"/>
      <c r="K180" s="283"/>
      <c r="L180" s="283"/>
      <c r="M180" s="283"/>
      <c r="Y180" s="337"/>
      <c r="Z180" s="337"/>
      <c r="AA180" s="337"/>
      <c r="AB180" s="337"/>
    </row>
    <row r="181" spans="10:28" s="157" customFormat="1" ht="12.75">
      <c r="J181" s="156"/>
      <c r="K181" s="283"/>
      <c r="L181" s="283"/>
      <c r="M181" s="283"/>
      <c r="Y181" s="337"/>
      <c r="Z181" s="337"/>
      <c r="AA181" s="337"/>
      <c r="AB181" s="337"/>
    </row>
    <row r="182" spans="10:28" s="157" customFormat="1" ht="12.75">
      <c r="J182" s="156"/>
      <c r="K182" s="283"/>
      <c r="L182" s="283"/>
      <c r="M182" s="283"/>
      <c r="Y182" s="337"/>
      <c r="Z182" s="337"/>
      <c r="AA182" s="337"/>
      <c r="AB182" s="337"/>
    </row>
    <row r="183" spans="10:28" s="157" customFormat="1" ht="12.75">
      <c r="J183" s="156"/>
      <c r="K183" s="283"/>
      <c r="L183" s="283"/>
      <c r="M183" s="283"/>
      <c r="Y183" s="337"/>
      <c r="Z183" s="337"/>
      <c r="AA183" s="337"/>
      <c r="AB183" s="337"/>
    </row>
    <row r="184" spans="10:28" s="157" customFormat="1" ht="12.75">
      <c r="J184" s="156"/>
      <c r="K184" s="283"/>
      <c r="L184" s="283"/>
      <c r="M184" s="283"/>
      <c r="Y184" s="337"/>
      <c r="Z184" s="337"/>
      <c r="AA184" s="337"/>
      <c r="AB184" s="337"/>
    </row>
    <row r="185" spans="10:28" s="157" customFormat="1" ht="12.75">
      <c r="J185" s="156"/>
      <c r="K185" s="283"/>
      <c r="L185" s="283"/>
      <c r="M185" s="283"/>
      <c r="Y185" s="337"/>
      <c r="Z185" s="337"/>
      <c r="AA185" s="337"/>
      <c r="AB185" s="337"/>
    </row>
    <row r="186" spans="10:28" s="157" customFormat="1" ht="12.75">
      <c r="J186" s="156"/>
      <c r="K186" s="283"/>
      <c r="L186" s="283"/>
      <c r="M186" s="283"/>
      <c r="Y186" s="337"/>
      <c r="Z186" s="337"/>
      <c r="AA186" s="337"/>
      <c r="AB186" s="337"/>
    </row>
    <row r="187" spans="10:28" s="157" customFormat="1" ht="12.75">
      <c r="J187" s="156"/>
      <c r="K187" s="283"/>
      <c r="L187" s="283"/>
      <c r="M187" s="283"/>
      <c r="Y187" s="337"/>
      <c r="Z187" s="337"/>
      <c r="AA187" s="337"/>
      <c r="AB187" s="337"/>
    </row>
    <row r="188" spans="10:28" s="157" customFormat="1" ht="12.75">
      <c r="J188" s="156"/>
      <c r="K188" s="283"/>
      <c r="L188" s="283"/>
      <c r="M188" s="283"/>
      <c r="Y188" s="337"/>
      <c r="Z188" s="337"/>
      <c r="AA188" s="337"/>
      <c r="AB188" s="337"/>
    </row>
    <row r="189" spans="10:28" s="157" customFormat="1" ht="12.75">
      <c r="J189" s="156"/>
      <c r="K189" s="283"/>
      <c r="L189" s="283"/>
      <c r="M189" s="283"/>
      <c r="Y189" s="337"/>
      <c r="Z189" s="337"/>
      <c r="AA189" s="337"/>
      <c r="AB189" s="337"/>
    </row>
    <row r="190" spans="10:28" s="157" customFormat="1" ht="12.75">
      <c r="J190" s="156"/>
      <c r="K190" s="283"/>
      <c r="L190" s="283"/>
      <c r="M190" s="283"/>
      <c r="Y190" s="337"/>
      <c r="Z190" s="337"/>
      <c r="AA190" s="337"/>
      <c r="AB190" s="337"/>
    </row>
    <row r="191" spans="10:28" s="157" customFormat="1" ht="12.75">
      <c r="J191" s="156"/>
      <c r="K191" s="283"/>
      <c r="L191" s="283"/>
      <c r="M191" s="283"/>
      <c r="Y191" s="337"/>
      <c r="Z191" s="337"/>
      <c r="AA191" s="337"/>
      <c r="AB191" s="337"/>
    </row>
    <row r="192" spans="10:28" s="157" customFormat="1" ht="12.75">
      <c r="J192" s="156"/>
      <c r="K192" s="283"/>
      <c r="L192" s="283"/>
      <c r="M192" s="283"/>
      <c r="Y192" s="337"/>
      <c r="Z192" s="337"/>
      <c r="AA192" s="337"/>
      <c r="AB192" s="337"/>
    </row>
    <row r="193" spans="10:28" s="157" customFormat="1" ht="12.75">
      <c r="J193" s="156"/>
      <c r="K193" s="283"/>
      <c r="L193" s="283"/>
      <c r="M193" s="283"/>
      <c r="Y193" s="337"/>
      <c r="Z193" s="337"/>
      <c r="AA193" s="337"/>
      <c r="AB193" s="337"/>
    </row>
    <row r="194" spans="10:28" s="157" customFormat="1" ht="12.75">
      <c r="J194" s="156"/>
      <c r="K194" s="283"/>
      <c r="L194" s="283"/>
      <c r="M194" s="283"/>
      <c r="Y194" s="337"/>
      <c r="Z194" s="337"/>
      <c r="AA194" s="337"/>
      <c r="AB194" s="337"/>
    </row>
    <row r="195" spans="10:28" s="157" customFormat="1" ht="12.75">
      <c r="J195" s="156"/>
      <c r="K195" s="283"/>
      <c r="L195" s="283"/>
      <c r="M195" s="283"/>
      <c r="Y195" s="337"/>
      <c r="Z195" s="337"/>
      <c r="AA195" s="337"/>
      <c r="AB195" s="337"/>
    </row>
    <row r="196" spans="10:28" s="157" customFormat="1" ht="12.75">
      <c r="J196" s="156"/>
      <c r="K196" s="283"/>
      <c r="L196" s="283"/>
      <c r="M196" s="283"/>
      <c r="Y196" s="337"/>
      <c r="Z196" s="337"/>
      <c r="AA196" s="337"/>
      <c r="AB196" s="337"/>
    </row>
    <row r="197" spans="10:28" s="157" customFormat="1" ht="12.75">
      <c r="J197" s="156"/>
      <c r="K197" s="283"/>
      <c r="L197" s="283"/>
      <c r="M197" s="283"/>
      <c r="Y197" s="337"/>
      <c r="Z197" s="337"/>
      <c r="AA197" s="337"/>
      <c r="AB197" s="337"/>
    </row>
    <row r="198" spans="10:28" s="157" customFormat="1" ht="12.75">
      <c r="J198" s="156"/>
      <c r="K198" s="283"/>
      <c r="L198" s="283"/>
      <c r="M198" s="283"/>
      <c r="Y198" s="337"/>
      <c r="Z198" s="337"/>
      <c r="AA198" s="337"/>
      <c r="AB198" s="337"/>
    </row>
    <row r="199" spans="10:28" s="157" customFormat="1" ht="12.75">
      <c r="J199" s="156"/>
      <c r="K199" s="283"/>
      <c r="L199" s="283"/>
      <c r="M199" s="283"/>
      <c r="Y199" s="337"/>
      <c r="Z199" s="337"/>
      <c r="AA199" s="337"/>
      <c r="AB199" s="337"/>
    </row>
    <row r="200" spans="10:28" s="157" customFormat="1" ht="12.75">
      <c r="J200" s="156"/>
      <c r="K200" s="283"/>
      <c r="L200" s="283"/>
      <c r="M200" s="283"/>
      <c r="Y200" s="337"/>
      <c r="Z200" s="337"/>
      <c r="AA200" s="337"/>
      <c r="AB200" s="337"/>
    </row>
    <row r="201" spans="10:28" s="157" customFormat="1" ht="12.75">
      <c r="J201" s="156"/>
      <c r="K201" s="283"/>
      <c r="L201" s="283"/>
      <c r="M201" s="283"/>
      <c r="Y201" s="337"/>
      <c r="Z201" s="337"/>
      <c r="AA201" s="337"/>
      <c r="AB201" s="337"/>
    </row>
    <row r="202" spans="10:28" s="157" customFormat="1" ht="12.75">
      <c r="J202" s="156"/>
      <c r="K202" s="283"/>
      <c r="L202" s="283"/>
      <c r="M202" s="283"/>
      <c r="Y202" s="337"/>
      <c r="Z202" s="337"/>
      <c r="AA202" s="337"/>
      <c r="AB202" s="337"/>
    </row>
    <row r="203" spans="10:28" s="157" customFormat="1" ht="12.75">
      <c r="J203" s="156"/>
      <c r="K203" s="283"/>
      <c r="L203" s="283"/>
      <c r="M203" s="283"/>
      <c r="Y203" s="337"/>
      <c r="Z203" s="337"/>
      <c r="AA203" s="337"/>
      <c r="AB203" s="337"/>
    </row>
    <row r="204" spans="10:28" s="157" customFormat="1" ht="12.75">
      <c r="J204" s="156"/>
      <c r="K204" s="283"/>
      <c r="L204" s="283"/>
      <c r="M204" s="283"/>
      <c r="Y204" s="337"/>
      <c r="Z204" s="337"/>
      <c r="AA204" s="337"/>
      <c r="AB204" s="337"/>
    </row>
    <row r="205" spans="10:28" s="157" customFormat="1" ht="12.75">
      <c r="J205" s="156"/>
      <c r="K205" s="283"/>
      <c r="L205" s="283"/>
      <c r="M205" s="283"/>
      <c r="Y205" s="337"/>
      <c r="Z205" s="337"/>
      <c r="AA205" s="337"/>
      <c r="AB205" s="337"/>
    </row>
    <row r="206" spans="10:28" s="157" customFormat="1" ht="12.75">
      <c r="J206" s="156"/>
      <c r="K206" s="283"/>
      <c r="L206" s="283"/>
      <c r="M206" s="283"/>
      <c r="Y206" s="337"/>
      <c r="Z206" s="337"/>
      <c r="AA206" s="337"/>
      <c r="AB206" s="337"/>
    </row>
    <row r="207" spans="10:28" s="157" customFormat="1" ht="12.75">
      <c r="J207" s="156"/>
      <c r="K207" s="283"/>
      <c r="L207" s="283"/>
      <c r="M207" s="283"/>
      <c r="Y207" s="337"/>
      <c r="Z207" s="337"/>
      <c r="AA207" s="337"/>
      <c r="AB207" s="337"/>
    </row>
    <row r="208" spans="10:28" s="157" customFormat="1" ht="12.75">
      <c r="J208" s="156"/>
      <c r="K208" s="283"/>
      <c r="L208" s="283"/>
      <c r="M208" s="283"/>
      <c r="Y208" s="337"/>
      <c r="Z208" s="337"/>
      <c r="AA208" s="337"/>
      <c r="AB208" s="337"/>
    </row>
    <row r="209" spans="10:28" s="157" customFormat="1" ht="12.75">
      <c r="J209" s="156"/>
      <c r="K209" s="283"/>
      <c r="L209" s="283"/>
      <c r="M209" s="283"/>
      <c r="Y209" s="337"/>
      <c r="Z209" s="337"/>
      <c r="AA209" s="337"/>
      <c r="AB209" s="337"/>
    </row>
    <row r="210" spans="10:28" s="157" customFormat="1" ht="12.75">
      <c r="J210" s="156"/>
      <c r="K210" s="283"/>
      <c r="L210" s="283"/>
      <c r="M210" s="283"/>
      <c r="Y210" s="337"/>
      <c r="Z210" s="337"/>
      <c r="AA210" s="337"/>
      <c r="AB210" s="337"/>
    </row>
    <row r="211" spans="10:28" s="157" customFormat="1" ht="12.75">
      <c r="J211" s="156"/>
      <c r="K211" s="283"/>
      <c r="L211" s="283"/>
      <c r="M211" s="283"/>
      <c r="Y211" s="337"/>
      <c r="Z211" s="337"/>
      <c r="AA211" s="337"/>
      <c r="AB211" s="337"/>
    </row>
    <row r="212" spans="10:28" s="157" customFormat="1" ht="12.75">
      <c r="J212" s="156"/>
      <c r="K212" s="283"/>
      <c r="L212" s="283"/>
      <c r="M212" s="283"/>
      <c r="Y212" s="337"/>
      <c r="Z212" s="337"/>
      <c r="AA212" s="337"/>
      <c r="AB212" s="337"/>
    </row>
    <row r="213" spans="10:28" s="157" customFormat="1" ht="12.75">
      <c r="J213" s="156"/>
      <c r="K213" s="283"/>
      <c r="L213" s="283"/>
      <c r="M213" s="283"/>
      <c r="Y213" s="337"/>
      <c r="Z213" s="337"/>
      <c r="AA213" s="337"/>
      <c r="AB213" s="337"/>
    </row>
    <row r="214" spans="10:28" s="157" customFormat="1" ht="12.75">
      <c r="J214" s="156"/>
      <c r="K214" s="283"/>
      <c r="L214" s="283"/>
      <c r="M214" s="283"/>
      <c r="Y214" s="337"/>
      <c r="Z214" s="337"/>
      <c r="AA214" s="337"/>
      <c r="AB214" s="337"/>
    </row>
    <row r="215" spans="10:28" s="157" customFormat="1" ht="12.75">
      <c r="J215" s="156"/>
      <c r="K215" s="283"/>
      <c r="L215" s="283"/>
      <c r="M215" s="283"/>
      <c r="Y215" s="337"/>
      <c r="Z215" s="337"/>
      <c r="AA215" s="337"/>
      <c r="AB215" s="337"/>
    </row>
    <row r="216" spans="10:28" s="157" customFormat="1" ht="12.75">
      <c r="J216" s="156"/>
      <c r="K216" s="283"/>
      <c r="L216" s="283"/>
      <c r="M216" s="283"/>
      <c r="Y216" s="337"/>
      <c r="Z216" s="337"/>
      <c r="AA216" s="337"/>
      <c r="AB216" s="337"/>
    </row>
    <row r="217" spans="10:28" s="157" customFormat="1" ht="12.75">
      <c r="J217" s="156"/>
      <c r="K217" s="283"/>
      <c r="L217" s="283"/>
      <c r="M217" s="283"/>
      <c r="Y217" s="337"/>
      <c r="Z217" s="337"/>
      <c r="AA217" s="337"/>
      <c r="AB217" s="337"/>
    </row>
  </sheetData>
  <sheetProtection selectLockedCells="1" selectUnlockedCells="1"/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X1"/>
    <mergeCell ref="A81:H81"/>
    <mergeCell ref="A82:H82"/>
    <mergeCell ref="A83:H83"/>
    <mergeCell ref="A84:H84"/>
  </mergeCells>
  <conditionalFormatting sqref="Y1:AB65536">
    <cfRule type="expression" priority="1" dxfId="0" stopIfTrue="1">
      <formula>NOT(ISERROR(SEARCH("fałsz",Y1)))</formula>
    </cfRule>
  </conditionalFormatting>
  <printOptions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8"/>
  <headerFooter alignWithMargins="0">
    <oddHeader>&amp;L000000Województwo śląskie - zadania gminne lista podstawowa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2"/>
  <sheetViews>
    <sheetView showGridLines="0" view="pageBreakPreview" zoomScale="110" zoomScaleNormal="78" zoomScaleSheetLayoutView="110" workbookViewId="0" topLeftCell="A1">
      <selection activeCell="A18" sqref="A18"/>
    </sheetView>
  </sheetViews>
  <sheetFormatPr defaultColWidth="9.140625" defaultRowHeight="15"/>
  <cols>
    <col min="1" max="1" width="5.7109375" style="359" customWidth="1"/>
    <col min="2" max="2" width="10.28125" style="153" customWidth="1"/>
    <col min="3" max="3" width="15.28125" style="153" customWidth="1"/>
    <col min="4" max="4" width="19.00390625" style="153" customWidth="1"/>
    <col min="5" max="5" width="11.421875" style="153" customWidth="1"/>
    <col min="6" max="6" width="53.8515625" style="155" customWidth="1"/>
    <col min="7" max="7" width="14.00390625" style="153" customWidth="1"/>
    <col min="8" max="8" width="12.00390625" style="155" customWidth="1"/>
    <col min="9" max="9" width="15.7109375" style="153" customWidth="1"/>
    <col min="10" max="10" width="15.7109375" style="360" customWidth="1"/>
    <col min="11" max="11" width="16.7109375" style="361" customWidth="1"/>
    <col min="12" max="12" width="15.7109375" style="361" customWidth="1"/>
    <col min="13" max="13" width="13.7109375" style="359" customWidth="1"/>
    <col min="14" max="14" width="14.57421875" style="155" customWidth="1"/>
    <col min="15" max="22" width="15.7109375" style="155" customWidth="1"/>
    <col min="23" max="23" width="15.7109375" style="362" customWidth="1"/>
    <col min="24" max="27" width="15.7109375" style="363" customWidth="1"/>
    <col min="28" max="56" width="9.140625" style="157" customWidth="1"/>
    <col min="57" max="16384" width="9.140625" style="155" customWidth="1"/>
  </cols>
  <sheetData>
    <row r="1" spans="1:56" s="366" customFormat="1" ht="19.5" customHeight="1">
      <c r="A1" s="364" t="s">
        <v>21</v>
      </c>
      <c r="B1" s="364" t="s">
        <v>22</v>
      </c>
      <c r="C1" s="365" t="s">
        <v>520</v>
      </c>
      <c r="D1" s="364" t="s">
        <v>24</v>
      </c>
      <c r="E1" s="365" t="s">
        <v>25</v>
      </c>
      <c r="F1" s="364" t="s">
        <v>26</v>
      </c>
      <c r="G1" s="364" t="s">
        <v>27</v>
      </c>
      <c r="H1" s="364" t="s">
        <v>28</v>
      </c>
      <c r="I1" s="364" t="s">
        <v>29</v>
      </c>
      <c r="J1" s="364" t="s">
        <v>30</v>
      </c>
      <c r="K1" s="364" t="s">
        <v>521</v>
      </c>
      <c r="L1" s="364" t="s">
        <v>32</v>
      </c>
      <c r="M1" s="364" t="s">
        <v>33</v>
      </c>
      <c r="N1" s="364" t="s">
        <v>10</v>
      </c>
      <c r="O1" s="364"/>
      <c r="P1" s="364"/>
      <c r="Q1" s="364"/>
      <c r="R1" s="364"/>
      <c r="S1" s="364"/>
      <c r="T1" s="364"/>
      <c r="U1" s="364"/>
      <c r="V1" s="364"/>
      <c r="W1" s="364"/>
      <c r="X1" s="314"/>
      <c r="Y1" s="314"/>
      <c r="Z1" s="314"/>
      <c r="AA1" s="314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</row>
    <row r="2" spans="1:56" s="366" customFormat="1" ht="27.75" customHeight="1">
      <c r="A2" s="364"/>
      <c r="B2" s="364"/>
      <c r="C2" s="365"/>
      <c r="D2" s="364"/>
      <c r="E2" s="365"/>
      <c r="F2" s="364"/>
      <c r="G2" s="364"/>
      <c r="H2" s="364"/>
      <c r="I2" s="364"/>
      <c r="J2" s="364"/>
      <c r="K2" s="364"/>
      <c r="L2" s="364"/>
      <c r="M2" s="364"/>
      <c r="N2" s="364">
        <v>2019</v>
      </c>
      <c r="O2" s="364">
        <v>2020</v>
      </c>
      <c r="P2" s="364">
        <v>2021</v>
      </c>
      <c r="Q2" s="364">
        <v>2022</v>
      </c>
      <c r="R2" s="364">
        <v>2023</v>
      </c>
      <c r="S2" s="364">
        <v>2024</v>
      </c>
      <c r="T2" s="364">
        <v>2025</v>
      </c>
      <c r="U2" s="364">
        <v>2026</v>
      </c>
      <c r="V2" s="364">
        <v>2027</v>
      </c>
      <c r="W2" s="364">
        <v>2028</v>
      </c>
      <c r="X2" s="167" t="s">
        <v>34</v>
      </c>
      <c r="Y2" s="167" t="s">
        <v>35</v>
      </c>
      <c r="Z2" s="167" t="s">
        <v>36</v>
      </c>
      <c r="AA2" s="173" t="s">
        <v>37</v>
      </c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</row>
    <row r="3" spans="1:56" s="205" customFormat="1" ht="12.75">
      <c r="A3" s="174">
        <v>1</v>
      </c>
      <c r="B3" s="174" t="s">
        <v>522</v>
      </c>
      <c r="C3" s="174" t="s">
        <v>110</v>
      </c>
      <c r="D3" s="204" t="s">
        <v>523</v>
      </c>
      <c r="E3" s="175">
        <v>2415</v>
      </c>
      <c r="F3" s="209" t="s">
        <v>524</v>
      </c>
      <c r="G3" s="174" t="s">
        <v>42</v>
      </c>
      <c r="H3" s="200">
        <v>2.097</v>
      </c>
      <c r="I3" s="199" t="s">
        <v>525</v>
      </c>
      <c r="J3" s="367">
        <v>14301252</v>
      </c>
      <c r="K3" s="367">
        <v>7865688.600000001</v>
      </c>
      <c r="L3" s="367">
        <f aca="true" t="shared" si="0" ref="L3:L17">J3-K3</f>
        <v>6435563.399999999</v>
      </c>
      <c r="M3" s="181">
        <v>0.55</v>
      </c>
      <c r="N3" s="182"/>
      <c r="O3" s="182"/>
      <c r="P3" s="183"/>
      <c r="Q3" s="183">
        <v>3932844.3</v>
      </c>
      <c r="R3" s="183">
        <v>3932844.3</v>
      </c>
      <c r="S3" s="183"/>
      <c r="T3" s="183"/>
      <c r="U3" s="183"/>
      <c r="V3" s="183"/>
      <c r="W3" s="183"/>
      <c r="X3" s="167" t="b">
        <f aca="true" t="shared" si="1" ref="X3:X17">K3=SUM(N3:W3)</f>
        <v>1</v>
      </c>
      <c r="Y3" s="185">
        <f aca="true" t="shared" si="2" ref="Y3:Y17">ROUND(K3/J3,4)</f>
        <v>0.55</v>
      </c>
      <c r="Z3" s="186" t="b">
        <f aca="true" t="shared" si="3" ref="Z3:Z17">Y3=M3</f>
        <v>1</v>
      </c>
      <c r="AA3" s="186" t="b">
        <f aca="true" t="shared" si="4" ref="AA3:AA17">J3=K3+L3</f>
        <v>1</v>
      </c>
      <c r="AB3" s="191"/>
      <c r="AC3" s="187"/>
      <c r="AD3" s="188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s="205" customFormat="1" ht="12.75">
      <c r="A4" s="174">
        <v>2</v>
      </c>
      <c r="B4" s="174" t="s">
        <v>526</v>
      </c>
      <c r="C4" s="174" t="s">
        <v>110</v>
      </c>
      <c r="D4" s="204" t="s">
        <v>106</v>
      </c>
      <c r="E4" s="175">
        <v>2402</v>
      </c>
      <c r="F4" s="209" t="s">
        <v>527</v>
      </c>
      <c r="G4" s="174" t="s">
        <v>42</v>
      </c>
      <c r="H4" s="200">
        <v>1.836</v>
      </c>
      <c r="I4" s="199" t="s">
        <v>166</v>
      </c>
      <c r="J4" s="367">
        <v>9959290</v>
      </c>
      <c r="K4" s="367">
        <v>4979645</v>
      </c>
      <c r="L4" s="367">
        <f t="shared" si="0"/>
        <v>4979645</v>
      </c>
      <c r="M4" s="181">
        <v>0.5</v>
      </c>
      <c r="N4" s="182"/>
      <c r="O4" s="182"/>
      <c r="P4" s="183"/>
      <c r="Q4" s="183">
        <v>2479645</v>
      </c>
      <c r="R4" s="183">
        <v>2500000</v>
      </c>
      <c r="S4" s="183"/>
      <c r="T4" s="183"/>
      <c r="U4" s="183"/>
      <c r="V4" s="183"/>
      <c r="W4" s="183"/>
      <c r="X4" s="167" t="b">
        <f t="shared" si="1"/>
        <v>1</v>
      </c>
      <c r="Y4" s="185">
        <f t="shared" si="2"/>
        <v>0.5</v>
      </c>
      <c r="Z4" s="186" t="b">
        <f t="shared" si="3"/>
        <v>1</v>
      </c>
      <c r="AA4" s="186" t="b">
        <f t="shared" si="4"/>
        <v>1</v>
      </c>
      <c r="AB4" s="191"/>
      <c r="AC4" s="187"/>
      <c r="AD4" s="188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</row>
    <row r="5" spans="1:56" s="223" customFormat="1" ht="12.75">
      <c r="A5" s="206">
        <v>3</v>
      </c>
      <c r="B5" s="206" t="s">
        <v>528</v>
      </c>
      <c r="C5" s="206" t="s">
        <v>117</v>
      </c>
      <c r="D5" s="210" t="s">
        <v>122</v>
      </c>
      <c r="E5" s="211">
        <v>2417</v>
      </c>
      <c r="F5" s="212" t="s">
        <v>529</v>
      </c>
      <c r="G5" s="206" t="s">
        <v>42</v>
      </c>
      <c r="H5" s="213">
        <v>0.838</v>
      </c>
      <c r="I5" s="214" t="s">
        <v>124</v>
      </c>
      <c r="J5" s="368">
        <v>1168000</v>
      </c>
      <c r="K5" s="368">
        <v>642400</v>
      </c>
      <c r="L5" s="368">
        <f t="shared" si="0"/>
        <v>525600</v>
      </c>
      <c r="M5" s="217">
        <v>0.55</v>
      </c>
      <c r="N5" s="218"/>
      <c r="O5" s="218"/>
      <c r="P5" s="219"/>
      <c r="Q5" s="219">
        <v>642400</v>
      </c>
      <c r="R5" s="219"/>
      <c r="S5" s="219"/>
      <c r="T5" s="219"/>
      <c r="U5" s="219"/>
      <c r="V5" s="219"/>
      <c r="W5" s="219"/>
      <c r="X5" s="167" t="b">
        <f t="shared" si="1"/>
        <v>1</v>
      </c>
      <c r="Y5" s="185">
        <f t="shared" si="2"/>
        <v>0.55</v>
      </c>
      <c r="Z5" s="186" t="b">
        <f t="shared" si="3"/>
        <v>1</v>
      </c>
      <c r="AA5" s="186" t="b">
        <f t="shared" si="4"/>
        <v>1</v>
      </c>
      <c r="AB5" s="220"/>
      <c r="AC5" s="221"/>
      <c r="AD5" s="222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</row>
    <row r="6" spans="1:56" s="205" customFormat="1" ht="12.75">
      <c r="A6" s="174">
        <v>4</v>
      </c>
      <c r="B6" s="174" t="s">
        <v>530</v>
      </c>
      <c r="C6" s="174" t="s">
        <v>110</v>
      </c>
      <c r="D6" s="204" t="s">
        <v>40</v>
      </c>
      <c r="E6" s="175">
        <v>2404</v>
      </c>
      <c r="F6" s="209" t="s">
        <v>531</v>
      </c>
      <c r="G6" s="174" t="s">
        <v>42</v>
      </c>
      <c r="H6" s="200">
        <v>2.24</v>
      </c>
      <c r="I6" s="199" t="s">
        <v>532</v>
      </c>
      <c r="J6" s="367">
        <v>7500000</v>
      </c>
      <c r="K6" s="367">
        <v>3750000</v>
      </c>
      <c r="L6" s="367">
        <f t="shared" si="0"/>
        <v>3750000</v>
      </c>
      <c r="M6" s="181">
        <v>0.5</v>
      </c>
      <c r="N6" s="182"/>
      <c r="O6" s="182"/>
      <c r="P6" s="183"/>
      <c r="Q6" s="183">
        <v>150000</v>
      </c>
      <c r="R6" s="183">
        <v>1800000</v>
      </c>
      <c r="S6" s="183">
        <v>1800000</v>
      </c>
      <c r="T6" s="183"/>
      <c r="U6" s="183"/>
      <c r="V6" s="183"/>
      <c r="W6" s="183"/>
      <c r="X6" s="167" t="b">
        <f t="shared" si="1"/>
        <v>1</v>
      </c>
      <c r="Y6" s="185">
        <f t="shared" si="2"/>
        <v>0.5</v>
      </c>
      <c r="Z6" s="186" t="b">
        <f t="shared" si="3"/>
        <v>1</v>
      </c>
      <c r="AA6" s="186" t="b">
        <f t="shared" si="4"/>
        <v>1</v>
      </c>
      <c r="AB6" s="191"/>
      <c r="AC6" s="187"/>
      <c r="AD6" s="188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56" s="205" customFormat="1" ht="12.75">
      <c r="A7" s="206">
        <v>5</v>
      </c>
      <c r="B7" s="174" t="s">
        <v>533</v>
      </c>
      <c r="C7" s="174" t="s">
        <v>110</v>
      </c>
      <c r="D7" s="204" t="s">
        <v>534</v>
      </c>
      <c r="E7" s="175">
        <v>2411</v>
      </c>
      <c r="F7" s="209" t="s">
        <v>535</v>
      </c>
      <c r="G7" s="174" t="s">
        <v>42</v>
      </c>
      <c r="H7" s="200">
        <v>2.546</v>
      </c>
      <c r="I7" s="199" t="s">
        <v>536</v>
      </c>
      <c r="J7" s="367">
        <v>15686932</v>
      </c>
      <c r="K7" s="367">
        <v>7843466</v>
      </c>
      <c r="L7" s="367">
        <f t="shared" si="0"/>
        <v>7843466</v>
      </c>
      <c r="M7" s="181">
        <v>0.5</v>
      </c>
      <c r="N7" s="182"/>
      <c r="O7" s="182"/>
      <c r="P7" s="183"/>
      <c r="Q7" s="183">
        <v>3100000</v>
      </c>
      <c r="R7" s="183">
        <v>4743466</v>
      </c>
      <c r="S7" s="183"/>
      <c r="T7" s="183"/>
      <c r="U7" s="183"/>
      <c r="V7" s="183"/>
      <c r="W7" s="183"/>
      <c r="X7" s="167" t="b">
        <f t="shared" si="1"/>
        <v>1</v>
      </c>
      <c r="Y7" s="185">
        <f t="shared" si="2"/>
        <v>0.5</v>
      </c>
      <c r="Z7" s="186" t="b">
        <f t="shared" si="3"/>
        <v>1</v>
      </c>
      <c r="AA7" s="186" t="b">
        <f t="shared" si="4"/>
        <v>1</v>
      </c>
      <c r="AB7" s="191"/>
      <c r="AC7" s="187"/>
      <c r="AD7" s="188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</row>
    <row r="8" spans="1:56" s="223" customFormat="1" ht="12.75">
      <c r="A8" s="174">
        <v>6</v>
      </c>
      <c r="B8" s="206" t="s">
        <v>537</v>
      </c>
      <c r="C8" s="206" t="s">
        <v>117</v>
      </c>
      <c r="D8" s="210" t="s">
        <v>523</v>
      </c>
      <c r="E8" s="211">
        <v>2415</v>
      </c>
      <c r="F8" s="212" t="s">
        <v>538</v>
      </c>
      <c r="G8" s="206" t="s">
        <v>42</v>
      </c>
      <c r="H8" s="213">
        <v>0.303</v>
      </c>
      <c r="I8" s="214" t="s">
        <v>369</v>
      </c>
      <c r="J8" s="368">
        <v>2630935</v>
      </c>
      <c r="K8" s="368">
        <v>1447014.2500000002</v>
      </c>
      <c r="L8" s="368">
        <f t="shared" si="0"/>
        <v>1183920.7499999998</v>
      </c>
      <c r="M8" s="217">
        <v>0.55</v>
      </c>
      <c r="N8" s="218"/>
      <c r="O8" s="218"/>
      <c r="P8" s="219"/>
      <c r="Q8" s="219">
        <v>1447014.2500000002</v>
      </c>
      <c r="R8" s="219"/>
      <c r="S8" s="219"/>
      <c r="T8" s="219"/>
      <c r="U8" s="219"/>
      <c r="V8" s="219"/>
      <c r="W8" s="219"/>
      <c r="X8" s="167" t="b">
        <f t="shared" si="1"/>
        <v>1</v>
      </c>
      <c r="Y8" s="185">
        <f t="shared" si="2"/>
        <v>0.55</v>
      </c>
      <c r="Z8" s="186" t="b">
        <f t="shared" si="3"/>
        <v>1</v>
      </c>
      <c r="AA8" s="186" t="b">
        <f t="shared" si="4"/>
        <v>1</v>
      </c>
      <c r="AB8" s="220"/>
      <c r="AC8" s="221"/>
      <c r="AD8" s="222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</row>
    <row r="9" spans="1:56" s="239" customFormat="1" ht="12.75">
      <c r="A9" s="206">
        <v>7</v>
      </c>
      <c r="B9" s="206" t="s">
        <v>539</v>
      </c>
      <c r="C9" s="235" t="s">
        <v>117</v>
      </c>
      <c r="D9" s="210" t="s">
        <v>160</v>
      </c>
      <c r="E9" s="211">
        <v>2401</v>
      </c>
      <c r="F9" s="224" t="s">
        <v>540</v>
      </c>
      <c r="G9" s="206" t="s">
        <v>42</v>
      </c>
      <c r="H9" s="213">
        <v>0.4</v>
      </c>
      <c r="I9" s="236" t="s">
        <v>162</v>
      </c>
      <c r="J9" s="368">
        <v>2000000</v>
      </c>
      <c r="K9" s="368">
        <v>1000000</v>
      </c>
      <c r="L9" s="368">
        <f t="shared" si="0"/>
        <v>1000000</v>
      </c>
      <c r="M9" s="238">
        <v>0.5</v>
      </c>
      <c r="N9" s="218"/>
      <c r="O9" s="218"/>
      <c r="P9" s="218"/>
      <c r="Q9" s="219">
        <v>1000000</v>
      </c>
      <c r="R9" s="219"/>
      <c r="S9" s="219"/>
      <c r="T9" s="219"/>
      <c r="U9" s="219"/>
      <c r="V9" s="219"/>
      <c r="W9" s="219"/>
      <c r="X9" s="167" t="b">
        <f t="shared" si="1"/>
        <v>1</v>
      </c>
      <c r="Y9" s="185">
        <f t="shared" si="2"/>
        <v>0.5</v>
      </c>
      <c r="Z9" s="186" t="b">
        <f t="shared" si="3"/>
        <v>1</v>
      </c>
      <c r="AA9" s="186" t="b">
        <f t="shared" si="4"/>
        <v>1</v>
      </c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</row>
    <row r="10" spans="1:56" s="230" customFormat="1" ht="12.75">
      <c r="A10" s="174">
        <v>8</v>
      </c>
      <c r="B10" s="174" t="s">
        <v>541</v>
      </c>
      <c r="C10" s="174" t="s">
        <v>110</v>
      </c>
      <c r="D10" s="204" t="s">
        <v>62</v>
      </c>
      <c r="E10" s="175">
        <v>2410</v>
      </c>
      <c r="F10" s="177" t="s">
        <v>542</v>
      </c>
      <c r="G10" s="174" t="s">
        <v>42</v>
      </c>
      <c r="H10" s="200">
        <v>2.23</v>
      </c>
      <c r="I10" s="199" t="s">
        <v>115</v>
      </c>
      <c r="J10" s="367">
        <v>4500000</v>
      </c>
      <c r="K10" s="367">
        <v>2250000</v>
      </c>
      <c r="L10" s="367">
        <f t="shared" si="0"/>
        <v>2250000</v>
      </c>
      <c r="M10" s="181">
        <v>0.5</v>
      </c>
      <c r="N10" s="182"/>
      <c r="O10" s="182"/>
      <c r="P10" s="183"/>
      <c r="Q10" s="369">
        <v>75000</v>
      </c>
      <c r="R10" s="370">
        <v>1087500</v>
      </c>
      <c r="S10" s="370">
        <v>1087500</v>
      </c>
      <c r="T10" s="370"/>
      <c r="U10" s="370"/>
      <c r="V10" s="371"/>
      <c r="W10" s="370"/>
      <c r="X10" s="167" t="b">
        <f t="shared" si="1"/>
        <v>1</v>
      </c>
      <c r="Y10" s="185">
        <f t="shared" si="2"/>
        <v>0.5</v>
      </c>
      <c r="Z10" s="186" t="b">
        <f t="shared" si="3"/>
        <v>1</v>
      </c>
      <c r="AA10" s="186" t="b">
        <f t="shared" si="4"/>
        <v>1</v>
      </c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</row>
    <row r="11" spans="1:56" s="228" customFormat="1" ht="12.75">
      <c r="A11" s="206">
        <v>9</v>
      </c>
      <c r="B11" s="206" t="s">
        <v>543</v>
      </c>
      <c r="C11" s="206" t="s">
        <v>117</v>
      </c>
      <c r="D11" s="210" t="s">
        <v>118</v>
      </c>
      <c r="E11" s="211">
        <v>2403</v>
      </c>
      <c r="F11" s="224" t="s">
        <v>544</v>
      </c>
      <c r="G11" s="206" t="s">
        <v>87</v>
      </c>
      <c r="H11" s="213">
        <v>0.774</v>
      </c>
      <c r="I11" s="214" t="s">
        <v>120</v>
      </c>
      <c r="J11" s="368">
        <v>1573945</v>
      </c>
      <c r="K11" s="368">
        <v>865669.7500000001</v>
      </c>
      <c r="L11" s="368">
        <f t="shared" si="0"/>
        <v>708275.2499999999</v>
      </c>
      <c r="M11" s="217">
        <v>0.55</v>
      </c>
      <c r="N11" s="218"/>
      <c r="O11" s="218"/>
      <c r="P11" s="219"/>
      <c r="Q11" s="372">
        <v>865669.7500000001</v>
      </c>
      <c r="R11" s="373"/>
      <c r="S11" s="373"/>
      <c r="T11" s="373"/>
      <c r="U11" s="373"/>
      <c r="V11" s="374"/>
      <c r="W11" s="373"/>
      <c r="X11" s="167" t="b">
        <f t="shared" si="1"/>
        <v>1</v>
      </c>
      <c r="Y11" s="185">
        <f t="shared" si="2"/>
        <v>0.55</v>
      </c>
      <c r="Z11" s="186" t="b">
        <f t="shared" si="3"/>
        <v>1</v>
      </c>
      <c r="AA11" s="186" t="b">
        <f t="shared" si="4"/>
        <v>1</v>
      </c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</row>
    <row r="12" spans="1:56" s="234" customFormat="1" ht="12.75">
      <c r="A12" s="174">
        <v>10</v>
      </c>
      <c r="B12" s="174" t="s">
        <v>545</v>
      </c>
      <c r="C12" s="203" t="s">
        <v>110</v>
      </c>
      <c r="D12" s="204" t="s">
        <v>40</v>
      </c>
      <c r="E12" s="178">
        <v>2404</v>
      </c>
      <c r="F12" s="177" t="s">
        <v>546</v>
      </c>
      <c r="G12" s="174" t="s">
        <v>42</v>
      </c>
      <c r="H12" s="200">
        <v>3.041</v>
      </c>
      <c r="I12" s="202" t="s">
        <v>479</v>
      </c>
      <c r="J12" s="367">
        <v>7600000</v>
      </c>
      <c r="K12" s="367">
        <v>3800000</v>
      </c>
      <c r="L12" s="367">
        <f t="shared" si="0"/>
        <v>3800000</v>
      </c>
      <c r="M12" s="208">
        <v>0.5</v>
      </c>
      <c r="N12" s="182"/>
      <c r="O12" s="182"/>
      <c r="P12" s="182"/>
      <c r="Q12" s="183">
        <v>1900000</v>
      </c>
      <c r="R12" s="183">
        <v>1900000</v>
      </c>
      <c r="S12" s="183"/>
      <c r="T12" s="183"/>
      <c r="U12" s="183"/>
      <c r="V12" s="183"/>
      <c r="W12" s="183"/>
      <c r="X12" s="167" t="b">
        <f t="shared" si="1"/>
        <v>1</v>
      </c>
      <c r="Y12" s="185">
        <f t="shared" si="2"/>
        <v>0.5</v>
      </c>
      <c r="Z12" s="186" t="b">
        <f t="shared" si="3"/>
        <v>1</v>
      </c>
      <c r="AA12" s="186" t="b">
        <f t="shared" si="4"/>
        <v>1</v>
      </c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</row>
    <row r="13" spans="1:56" s="239" customFormat="1" ht="12.75">
      <c r="A13" s="206">
        <v>11</v>
      </c>
      <c r="B13" s="206" t="s">
        <v>547</v>
      </c>
      <c r="C13" s="235" t="s">
        <v>117</v>
      </c>
      <c r="D13" s="210" t="s">
        <v>548</v>
      </c>
      <c r="E13" s="211">
        <v>2406</v>
      </c>
      <c r="F13" s="224" t="s">
        <v>549</v>
      </c>
      <c r="G13" s="206" t="s">
        <v>42</v>
      </c>
      <c r="H13" s="213">
        <v>4.572</v>
      </c>
      <c r="I13" s="236" t="s">
        <v>150</v>
      </c>
      <c r="J13" s="368">
        <v>11006738</v>
      </c>
      <c r="K13" s="368">
        <v>5503369</v>
      </c>
      <c r="L13" s="368">
        <f t="shared" si="0"/>
        <v>5503369</v>
      </c>
      <c r="M13" s="238">
        <v>0.5</v>
      </c>
      <c r="N13" s="218"/>
      <c r="O13" s="218"/>
      <c r="P13" s="218"/>
      <c r="Q13" s="219">
        <v>5503369</v>
      </c>
      <c r="R13" s="219"/>
      <c r="S13" s="219"/>
      <c r="T13" s="219"/>
      <c r="U13" s="219"/>
      <c r="V13" s="219"/>
      <c r="W13" s="219"/>
      <c r="X13" s="167" t="b">
        <f t="shared" si="1"/>
        <v>1</v>
      </c>
      <c r="Y13" s="185">
        <f t="shared" si="2"/>
        <v>0.5</v>
      </c>
      <c r="Z13" s="186" t="b">
        <f t="shared" si="3"/>
        <v>1</v>
      </c>
      <c r="AA13" s="186" t="b">
        <f t="shared" si="4"/>
        <v>1</v>
      </c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</row>
    <row r="14" spans="1:56" s="239" customFormat="1" ht="12.75">
      <c r="A14" s="174">
        <v>12</v>
      </c>
      <c r="B14" s="206" t="s">
        <v>550</v>
      </c>
      <c r="C14" s="235" t="s">
        <v>117</v>
      </c>
      <c r="D14" s="210" t="s">
        <v>85</v>
      </c>
      <c r="E14" s="211">
        <v>2413</v>
      </c>
      <c r="F14" s="224" t="s">
        <v>551</v>
      </c>
      <c r="G14" s="206" t="s">
        <v>42</v>
      </c>
      <c r="H14" s="213">
        <v>1.08</v>
      </c>
      <c r="I14" s="236" t="s">
        <v>337</v>
      </c>
      <c r="J14" s="368">
        <v>4000000</v>
      </c>
      <c r="K14" s="368">
        <v>2000000</v>
      </c>
      <c r="L14" s="368">
        <f t="shared" si="0"/>
        <v>2000000</v>
      </c>
      <c r="M14" s="238">
        <v>0.5</v>
      </c>
      <c r="N14" s="218"/>
      <c r="O14" s="218"/>
      <c r="P14" s="218"/>
      <c r="Q14" s="219">
        <v>2000000</v>
      </c>
      <c r="R14" s="219"/>
      <c r="S14" s="219"/>
      <c r="T14" s="219"/>
      <c r="U14" s="219"/>
      <c r="V14" s="219"/>
      <c r="W14" s="219"/>
      <c r="X14" s="167" t="b">
        <f t="shared" si="1"/>
        <v>1</v>
      </c>
      <c r="Y14" s="185">
        <f t="shared" si="2"/>
        <v>0.5</v>
      </c>
      <c r="Z14" s="186" t="b">
        <f t="shared" si="3"/>
        <v>1</v>
      </c>
      <c r="AA14" s="186" t="b">
        <f t="shared" si="4"/>
        <v>1</v>
      </c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</row>
    <row r="15" spans="1:56" s="239" customFormat="1" ht="12.75">
      <c r="A15" s="206">
        <v>13</v>
      </c>
      <c r="B15" s="206" t="s">
        <v>552</v>
      </c>
      <c r="C15" s="235" t="s">
        <v>117</v>
      </c>
      <c r="D15" s="210" t="s">
        <v>553</v>
      </c>
      <c r="E15" s="375">
        <v>2408</v>
      </c>
      <c r="F15" s="224" t="s">
        <v>554</v>
      </c>
      <c r="G15" s="206" t="s">
        <v>42</v>
      </c>
      <c r="H15" s="213">
        <v>0.378</v>
      </c>
      <c r="I15" s="214" t="s">
        <v>369</v>
      </c>
      <c r="J15" s="368">
        <v>2098123</v>
      </c>
      <c r="K15" s="368">
        <v>1049061.5</v>
      </c>
      <c r="L15" s="368">
        <f t="shared" si="0"/>
        <v>1049061.5</v>
      </c>
      <c r="M15" s="238">
        <v>0.5</v>
      </c>
      <c r="N15" s="218"/>
      <c r="O15" s="218"/>
      <c r="P15" s="218"/>
      <c r="Q15" s="219">
        <v>1049061.5</v>
      </c>
      <c r="R15" s="219"/>
      <c r="S15" s="219"/>
      <c r="T15" s="219"/>
      <c r="U15" s="219"/>
      <c r="V15" s="219"/>
      <c r="W15" s="219"/>
      <c r="X15" s="167" t="b">
        <f t="shared" si="1"/>
        <v>1</v>
      </c>
      <c r="Y15" s="185">
        <f t="shared" si="2"/>
        <v>0.5</v>
      </c>
      <c r="Z15" s="186" t="b">
        <f t="shared" si="3"/>
        <v>1</v>
      </c>
      <c r="AA15" s="186" t="b">
        <f t="shared" si="4"/>
        <v>1</v>
      </c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</row>
    <row r="16" spans="1:56" s="239" customFormat="1" ht="12.75">
      <c r="A16" s="174">
        <v>14</v>
      </c>
      <c r="B16" s="206" t="s">
        <v>555</v>
      </c>
      <c r="C16" s="235" t="s">
        <v>117</v>
      </c>
      <c r="D16" s="210" t="s">
        <v>553</v>
      </c>
      <c r="E16" s="211">
        <v>2408</v>
      </c>
      <c r="F16" s="224" t="s">
        <v>556</v>
      </c>
      <c r="G16" s="206" t="s">
        <v>42</v>
      </c>
      <c r="H16" s="213">
        <v>0.904</v>
      </c>
      <c r="I16" s="236" t="s">
        <v>369</v>
      </c>
      <c r="J16" s="368">
        <v>1049468</v>
      </c>
      <c r="K16" s="368">
        <v>524734</v>
      </c>
      <c r="L16" s="368">
        <f t="shared" si="0"/>
        <v>524734</v>
      </c>
      <c r="M16" s="238">
        <v>0.5</v>
      </c>
      <c r="N16" s="218"/>
      <c r="O16" s="218"/>
      <c r="P16" s="218"/>
      <c r="Q16" s="219">
        <v>524734</v>
      </c>
      <c r="R16" s="219"/>
      <c r="S16" s="219"/>
      <c r="T16" s="219"/>
      <c r="U16" s="219"/>
      <c r="V16" s="219"/>
      <c r="W16" s="219"/>
      <c r="X16" s="167" t="b">
        <f t="shared" si="1"/>
        <v>1</v>
      </c>
      <c r="Y16" s="185">
        <f t="shared" si="2"/>
        <v>0.5</v>
      </c>
      <c r="Z16" s="186" t="b">
        <f t="shared" si="3"/>
        <v>1</v>
      </c>
      <c r="AA16" s="186" t="b">
        <f t="shared" si="4"/>
        <v>1</v>
      </c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</row>
    <row r="17" spans="1:56" s="234" customFormat="1" ht="12.75">
      <c r="A17" s="206">
        <v>15</v>
      </c>
      <c r="B17" s="174" t="s">
        <v>557</v>
      </c>
      <c r="C17" s="203" t="s">
        <v>110</v>
      </c>
      <c r="D17" s="204" t="s">
        <v>248</v>
      </c>
      <c r="E17" s="175">
        <v>2475</v>
      </c>
      <c r="F17" s="177" t="s">
        <v>558</v>
      </c>
      <c r="G17" s="174" t="s">
        <v>59</v>
      </c>
      <c r="H17" s="200">
        <v>1.131</v>
      </c>
      <c r="I17" s="202" t="s">
        <v>559</v>
      </c>
      <c r="J17" s="367">
        <v>7910593</v>
      </c>
      <c r="K17" s="367">
        <v>3955296.5</v>
      </c>
      <c r="L17" s="367">
        <f t="shared" si="0"/>
        <v>3955296.5</v>
      </c>
      <c r="M17" s="208">
        <v>0.5</v>
      </c>
      <c r="N17" s="182"/>
      <c r="O17" s="182"/>
      <c r="P17" s="182"/>
      <c r="Q17" s="183">
        <v>2873707.5</v>
      </c>
      <c r="R17" s="183">
        <v>1081589</v>
      </c>
      <c r="S17" s="183"/>
      <c r="T17" s="183"/>
      <c r="U17" s="183"/>
      <c r="V17" s="183"/>
      <c r="W17" s="183"/>
      <c r="X17" s="167" t="b">
        <f t="shared" si="1"/>
        <v>1</v>
      </c>
      <c r="Y17" s="185">
        <f t="shared" si="2"/>
        <v>0.5</v>
      </c>
      <c r="Z17" s="186" t="b">
        <f t="shared" si="3"/>
        <v>1</v>
      </c>
      <c r="AA17" s="186" t="b">
        <f t="shared" si="4"/>
        <v>1</v>
      </c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</row>
    <row r="18" spans="1:56" s="379" customFormat="1" ht="19.5" customHeight="1">
      <c r="A18" s="364" t="s">
        <v>177</v>
      </c>
      <c r="B18" s="364"/>
      <c r="C18" s="364"/>
      <c r="D18" s="364"/>
      <c r="E18" s="364"/>
      <c r="F18" s="364"/>
      <c r="G18" s="364"/>
      <c r="H18" s="241">
        <f>SUM(H3:H17)</f>
        <v>24.37</v>
      </c>
      <c r="I18" s="364" t="s">
        <v>178</v>
      </c>
      <c r="J18" s="376">
        <f>SUM(J3:J17)</f>
        <v>92985276</v>
      </c>
      <c r="K18" s="376">
        <f>SUM(K3:K17)</f>
        <v>47476344.6</v>
      </c>
      <c r="L18" s="376">
        <f>SUM(L3:L17)</f>
        <v>45508931.4</v>
      </c>
      <c r="M18" s="242" t="s">
        <v>178</v>
      </c>
      <c r="N18" s="377">
        <f aca="true" t="shared" si="5" ref="N18:W18">SUM(N3:N17)</f>
        <v>0</v>
      </c>
      <c r="O18" s="377">
        <f t="shared" si="5"/>
        <v>0</v>
      </c>
      <c r="P18" s="377">
        <f t="shared" si="5"/>
        <v>0</v>
      </c>
      <c r="Q18" s="377">
        <f t="shared" si="5"/>
        <v>27543445.3</v>
      </c>
      <c r="R18" s="377">
        <f t="shared" si="5"/>
        <v>17045399.3</v>
      </c>
      <c r="S18" s="377">
        <f t="shared" si="5"/>
        <v>2887500</v>
      </c>
      <c r="T18" s="377">
        <f t="shared" si="5"/>
        <v>0</v>
      </c>
      <c r="U18" s="377">
        <f t="shared" si="5"/>
        <v>0</v>
      </c>
      <c r="V18" s="377">
        <f t="shared" si="5"/>
        <v>0</v>
      </c>
      <c r="W18" s="377">
        <f t="shared" si="5"/>
        <v>0</v>
      </c>
      <c r="X18" s="378"/>
      <c r="Y18" s="378"/>
      <c r="Z18" s="378"/>
      <c r="AA18" s="378"/>
      <c r="AB18" s="157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s="379" customFormat="1" ht="19.5" customHeight="1">
      <c r="A19" s="364" t="s">
        <v>13</v>
      </c>
      <c r="B19" s="364"/>
      <c r="C19" s="364"/>
      <c r="D19" s="364"/>
      <c r="E19" s="364"/>
      <c r="F19" s="364"/>
      <c r="G19" s="364"/>
      <c r="H19" s="241">
        <f>SUMIF($C$3:$C$17,"N",H3:H17)</f>
        <v>9.249</v>
      </c>
      <c r="I19" s="364" t="s">
        <v>178</v>
      </c>
      <c r="J19" s="376">
        <f>SUMIF($C$3:$C$17,"N",J3:J17)</f>
        <v>25527209</v>
      </c>
      <c r="K19" s="376">
        <f>SUMIF($C$3:$C$17,"N",K3:K17)</f>
        <v>13032248.5</v>
      </c>
      <c r="L19" s="376">
        <f>SUMIF($C$3:$C$17,"N",L3:L17)</f>
        <v>12494960.5</v>
      </c>
      <c r="M19" s="242" t="s">
        <v>178</v>
      </c>
      <c r="N19" s="377">
        <f aca="true" t="shared" si="6" ref="N19:W19">SUMIF($C$3:$C$17,"N",N3:N17)</f>
        <v>0</v>
      </c>
      <c r="O19" s="377">
        <f t="shared" si="6"/>
        <v>0</v>
      </c>
      <c r="P19" s="377">
        <f t="shared" si="6"/>
        <v>0</v>
      </c>
      <c r="Q19" s="377">
        <f t="shared" si="6"/>
        <v>13032248.5</v>
      </c>
      <c r="R19" s="377">
        <f t="shared" si="6"/>
        <v>0</v>
      </c>
      <c r="S19" s="377">
        <f t="shared" si="6"/>
        <v>0</v>
      </c>
      <c r="T19" s="377">
        <f t="shared" si="6"/>
        <v>0</v>
      </c>
      <c r="U19" s="377">
        <f t="shared" si="6"/>
        <v>0</v>
      </c>
      <c r="V19" s="377">
        <f t="shared" si="6"/>
        <v>0</v>
      </c>
      <c r="W19" s="377">
        <f t="shared" si="6"/>
        <v>0</v>
      </c>
      <c r="X19" s="378"/>
      <c r="Y19" s="378"/>
      <c r="Z19" s="378"/>
      <c r="AA19" s="378"/>
      <c r="AB19" s="157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s="379" customFormat="1" ht="19.5" customHeight="1">
      <c r="A20" s="248" t="s">
        <v>14</v>
      </c>
      <c r="B20" s="248"/>
      <c r="C20" s="248"/>
      <c r="D20" s="248"/>
      <c r="E20" s="248"/>
      <c r="F20" s="248"/>
      <c r="G20" s="248"/>
      <c r="H20" s="247">
        <f>SUMIF($C$3:$C$17,"W",H3:H17)</f>
        <v>15.121</v>
      </c>
      <c r="I20" s="248" t="s">
        <v>178</v>
      </c>
      <c r="J20" s="180">
        <f>SUMIF($C$3:$C$17,"W",J3:J17)</f>
        <v>67458067</v>
      </c>
      <c r="K20" s="180">
        <f>SUMIF($C$3:$C$17,"W",K3:K17)</f>
        <v>34444096.1</v>
      </c>
      <c r="L20" s="180">
        <f>SUMIF($C$3:$C$17,"W",L3:L17)</f>
        <v>33013970.9</v>
      </c>
      <c r="M20" s="249" t="s">
        <v>178</v>
      </c>
      <c r="N20" s="380">
        <f aca="true" t="shared" si="7" ref="N20:W20">SUMIF($C$3:$C$17,"W",N3:N17)</f>
        <v>0</v>
      </c>
      <c r="O20" s="380">
        <f t="shared" si="7"/>
        <v>0</v>
      </c>
      <c r="P20" s="380">
        <f t="shared" si="7"/>
        <v>0</v>
      </c>
      <c r="Q20" s="380">
        <f t="shared" si="7"/>
        <v>14511196.8</v>
      </c>
      <c r="R20" s="380">
        <f t="shared" si="7"/>
        <v>17045399.3</v>
      </c>
      <c r="S20" s="380">
        <f t="shared" si="7"/>
        <v>2887500</v>
      </c>
      <c r="T20" s="380">
        <f t="shared" si="7"/>
        <v>0</v>
      </c>
      <c r="U20" s="380">
        <f t="shared" si="7"/>
        <v>0</v>
      </c>
      <c r="V20" s="380">
        <f t="shared" si="7"/>
        <v>0</v>
      </c>
      <c r="W20" s="380">
        <f t="shared" si="7"/>
        <v>0</v>
      </c>
      <c r="X20" s="378"/>
      <c r="Y20" s="378"/>
      <c r="Z20" s="378"/>
      <c r="AA20" s="378"/>
      <c r="AB20" s="157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s="382" customFormat="1" ht="12.75">
      <c r="A21" s="381"/>
      <c r="B21" s="154"/>
      <c r="C21" s="154"/>
      <c r="D21" s="154"/>
      <c r="E21" s="154"/>
      <c r="G21" s="154"/>
      <c r="I21" s="154"/>
      <c r="J21" s="383"/>
      <c r="K21" s="383"/>
      <c r="L21" s="383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384"/>
      <c r="Y21" s="384"/>
      <c r="Z21" s="384"/>
      <c r="AA21" s="384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</row>
    <row r="22" spans="1:27" ht="12.75">
      <c r="A22" s="385" t="s">
        <v>179</v>
      </c>
      <c r="M22" s="386"/>
      <c r="W22" s="150"/>
      <c r="X22" s="384"/>
      <c r="Y22" s="384"/>
      <c r="Z22" s="384"/>
      <c r="AA22" s="384"/>
    </row>
    <row r="23" spans="1:23" ht="12.75">
      <c r="A23" s="387" t="s">
        <v>180</v>
      </c>
      <c r="M23" s="386"/>
      <c r="O23" s="388"/>
      <c r="P23" s="388"/>
      <c r="W23" s="150"/>
    </row>
    <row r="24" spans="1:23" ht="12.75">
      <c r="A24" s="385" t="s">
        <v>560</v>
      </c>
      <c r="W24" s="150"/>
    </row>
    <row r="25" spans="9:27" s="157" customFormat="1" ht="12.75">
      <c r="I25" s="156"/>
      <c r="J25" s="389"/>
      <c r="K25" s="389"/>
      <c r="L25" s="389"/>
      <c r="X25" s="384"/>
      <c r="Y25" s="384"/>
      <c r="Z25" s="384"/>
      <c r="AA25" s="384"/>
    </row>
    <row r="26" spans="9:27" s="157" customFormat="1" ht="12.75">
      <c r="I26" s="156"/>
      <c r="J26" s="389"/>
      <c r="K26" s="389"/>
      <c r="L26" s="389"/>
      <c r="X26" s="384"/>
      <c r="Y26" s="384"/>
      <c r="Z26" s="384"/>
      <c r="AA26" s="384"/>
    </row>
    <row r="27" spans="9:27" s="157" customFormat="1" ht="12.75">
      <c r="I27" s="156"/>
      <c r="J27" s="389"/>
      <c r="K27" s="389"/>
      <c r="L27" s="389"/>
      <c r="X27" s="384"/>
      <c r="Y27" s="384"/>
      <c r="Z27" s="384"/>
      <c r="AA27" s="384"/>
    </row>
    <row r="28" spans="9:27" s="157" customFormat="1" ht="12.75">
      <c r="I28" s="156"/>
      <c r="J28" s="389"/>
      <c r="K28" s="389"/>
      <c r="L28" s="389"/>
      <c r="X28" s="384"/>
      <c r="Y28" s="384"/>
      <c r="Z28" s="384"/>
      <c r="AA28" s="384"/>
    </row>
    <row r="29" spans="9:27" s="157" customFormat="1" ht="12.75">
      <c r="I29" s="156"/>
      <c r="J29" s="389"/>
      <c r="K29" s="389"/>
      <c r="L29" s="389"/>
      <c r="X29" s="384"/>
      <c r="Y29" s="384"/>
      <c r="Z29" s="384"/>
      <c r="AA29" s="384"/>
    </row>
    <row r="30" spans="9:27" s="157" customFormat="1" ht="12.75">
      <c r="I30" s="156"/>
      <c r="J30" s="389"/>
      <c r="K30" s="389"/>
      <c r="L30" s="389"/>
      <c r="X30" s="384"/>
      <c r="Y30" s="384"/>
      <c r="Z30" s="384"/>
      <c r="AA30" s="384"/>
    </row>
    <row r="31" spans="9:27" s="157" customFormat="1" ht="12.75">
      <c r="I31" s="156"/>
      <c r="J31" s="389"/>
      <c r="K31" s="389"/>
      <c r="L31" s="389"/>
      <c r="X31" s="384"/>
      <c r="Y31" s="384"/>
      <c r="Z31" s="384"/>
      <c r="AA31" s="384"/>
    </row>
    <row r="32" spans="9:27" s="157" customFormat="1" ht="12.75">
      <c r="I32" s="156"/>
      <c r="J32" s="389"/>
      <c r="K32" s="389"/>
      <c r="L32" s="389"/>
      <c r="X32" s="384"/>
      <c r="Y32" s="384"/>
      <c r="Z32" s="384"/>
      <c r="AA32" s="384"/>
    </row>
    <row r="33" spans="9:27" s="157" customFormat="1" ht="12.75">
      <c r="I33" s="156"/>
      <c r="J33" s="389"/>
      <c r="K33" s="389"/>
      <c r="L33" s="389"/>
      <c r="X33" s="384"/>
      <c r="Y33" s="384"/>
      <c r="Z33" s="384"/>
      <c r="AA33" s="384"/>
    </row>
    <row r="34" spans="9:27" s="157" customFormat="1" ht="12.75">
      <c r="I34" s="156"/>
      <c r="J34" s="389"/>
      <c r="K34" s="389"/>
      <c r="L34" s="389"/>
      <c r="X34" s="384"/>
      <c r="Y34" s="384"/>
      <c r="Z34" s="384"/>
      <c r="AA34" s="384"/>
    </row>
    <row r="35" spans="9:27" s="157" customFormat="1" ht="12.75">
      <c r="I35" s="156"/>
      <c r="J35" s="389"/>
      <c r="K35" s="389"/>
      <c r="L35" s="389"/>
      <c r="X35" s="384"/>
      <c r="Y35" s="384"/>
      <c r="Z35" s="384"/>
      <c r="AA35" s="384"/>
    </row>
    <row r="36" spans="9:27" s="157" customFormat="1" ht="12.75">
      <c r="I36" s="156"/>
      <c r="J36" s="389"/>
      <c r="K36" s="389"/>
      <c r="L36" s="389"/>
      <c r="X36" s="384"/>
      <c r="Y36" s="384"/>
      <c r="Z36" s="384"/>
      <c r="AA36" s="384"/>
    </row>
    <row r="37" spans="9:27" s="157" customFormat="1" ht="12.75">
      <c r="I37" s="156"/>
      <c r="J37" s="389"/>
      <c r="K37" s="389"/>
      <c r="L37" s="389"/>
      <c r="X37" s="384"/>
      <c r="Y37" s="384"/>
      <c r="Z37" s="384"/>
      <c r="AA37" s="384"/>
    </row>
    <row r="38" spans="9:27" s="157" customFormat="1" ht="12.75">
      <c r="I38" s="156"/>
      <c r="J38" s="389"/>
      <c r="K38" s="389"/>
      <c r="L38" s="389"/>
      <c r="X38" s="384"/>
      <c r="Y38" s="384"/>
      <c r="Z38" s="384"/>
      <c r="AA38" s="384"/>
    </row>
    <row r="39" spans="9:27" s="157" customFormat="1" ht="12.75">
      <c r="I39" s="156"/>
      <c r="J39" s="389"/>
      <c r="K39" s="389"/>
      <c r="L39" s="389"/>
      <c r="X39" s="384"/>
      <c r="Y39" s="384"/>
      <c r="Z39" s="384"/>
      <c r="AA39" s="384"/>
    </row>
    <row r="40" spans="9:27" s="157" customFormat="1" ht="12.75">
      <c r="I40" s="156"/>
      <c r="J40" s="389"/>
      <c r="K40" s="389"/>
      <c r="L40" s="389"/>
      <c r="X40" s="384"/>
      <c r="Y40" s="384"/>
      <c r="Z40" s="384"/>
      <c r="AA40" s="384"/>
    </row>
    <row r="41" spans="9:27" s="157" customFormat="1" ht="12.75">
      <c r="I41" s="156"/>
      <c r="J41" s="389"/>
      <c r="K41" s="389"/>
      <c r="L41" s="389"/>
      <c r="X41" s="384"/>
      <c r="Y41" s="384"/>
      <c r="Z41" s="384"/>
      <c r="AA41" s="384"/>
    </row>
    <row r="42" spans="9:27" s="157" customFormat="1" ht="12.75">
      <c r="I42" s="156"/>
      <c r="J42" s="389"/>
      <c r="K42" s="389"/>
      <c r="L42" s="389"/>
      <c r="X42" s="384"/>
      <c r="Y42" s="384"/>
      <c r="Z42" s="384"/>
      <c r="AA42" s="384"/>
    </row>
    <row r="43" spans="9:27" s="157" customFormat="1" ht="12.75">
      <c r="I43" s="156"/>
      <c r="J43" s="389"/>
      <c r="K43" s="389"/>
      <c r="L43" s="389"/>
      <c r="X43" s="384"/>
      <c r="Y43" s="384"/>
      <c r="Z43" s="384"/>
      <c r="AA43" s="384"/>
    </row>
    <row r="44" spans="9:27" s="157" customFormat="1" ht="12.75">
      <c r="I44" s="156"/>
      <c r="J44" s="389"/>
      <c r="K44" s="389"/>
      <c r="L44" s="389"/>
      <c r="X44" s="384"/>
      <c r="Y44" s="384"/>
      <c r="Z44" s="384"/>
      <c r="AA44" s="384"/>
    </row>
    <row r="45" spans="9:27" s="157" customFormat="1" ht="12.75">
      <c r="I45" s="156"/>
      <c r="J45" s="389"/>
      <c r="K45" s="389"/>
      <c r="L45" s="389"/>
      <c r="X45" s="384"/>
      <c r="Y45" s="384"/>
      <c r="Z45" s="384"/>
      <c r="AA45" s="384"/>
    </row>
    <row r="46" spans="9:27" s="157" customFormat="1" ht="12.75">
      <c r="I46" s="156"/>
      <c r="J46" s="389"/>
      <c r="K46" s="389"/>
      <c r="L46" s="389"/>
      <c r="X46" s="384"/>
      <c r="Y46" s="384"/>
      <c r="Z46" s="384"/>
      <c r="AA46" s="384"/>
    </row>
    <row r="47" spans="9:27" s="157" customFormat="1" ht="12.75">
      <c r="I47" s="156"/>
      <c r="J47" s="389"/>
      <c r="K47" s="389"/>
      <c r="L47" s="389"/>
      <c r="X47" s="384"/>
      <c r="Y47" s="384"/>
      <c r="Z47" s="384"/>
      <c r="AA47" s="384"/>
    </row>
    <row r="48" spans="9:27" s="157" customFormat="1" ht="12.75">
      <c r="I48" s="156"/>
      <c r="J48" s="389"/>
      <c r="K48" s="389"/>
      <c r="L48" s="389"/>
      <c r="X48" s="384"/>
      <c r="Y48" s="384"/>
      <c r="Z48" s="384"/>
      <c r="AA48" s="384"/>
    </row>
    <row r="49" spans="9:27" s="157" customFormat="1" ht="12.75">
      <c r="I49" s="156"/>
      <c r="J49" s="389"/>
      <c r="K49" s="389"/>
      <c r="L49" s="389"/>
      <c r="X49" s="384"/>
      <c r="Y49" s="384"/>
      <c r="Z49" s="384"/>
      <c r="AA49" s="384"/>
    </row>
    <row r="50" spans="9:27" s="157" customFormat="1" ht="12.75">
      <c r="I50" s="156"/>
      <c r="J50" s="389"/>
      <c r="K50" s="389"/>
      <c r="L50" s="389"/>
      <c r="X50" s="384"/>
      <c r="Y50" s="384"/>
      <c r="Z50" s="384"/>
      <c r="AA50" s="384"/>
    </row>
    <row r="51" spans="9:27" s="157" customFormat="1" ht="12.75">
      <c r="I51" s="156"/>
      <c r="J51" s="389"/>
      <c r="K51" s="389"/>
      <c r="L51" s="389"/>
      <c r="X51" s="384"/>
      <c r="Y51" s="384"/>
      <c r="Z51" s="384"/>
      <c r="AA51" s="384"/>
    </row>
    <row r="52" spans="9:27" s="157" customFormat="1" ht="12.75">
      <c r="I52" s="156"/>
      <c r="J52" s="389"/>
      <c r="K52" s="389"/>
      <c r="L52" s="389"/>
      <c r="X52" s="384"/>
      <c r="Y52" s="384"/>
      <c r="Z52" s="384"/>
      <c r="AA52" s="384"/>
    </row>
    <row r="53" spans="9:27" s="157" customFormat="1" ht="12.75">
      <c r="I53" s="156"/>
      <c r="J53" s="389"/>
      <c r="K53" s="389"/>
      <c r="L53" s="389"/>
      <c r="X53" s="384"/>
      <c r="Y53" s="384"/>
      <c r="Z53" s="384"/>
      <c r="AA53" s="384"/>
    </row>
    <row r="54" spans="9:27" s="157" customFormat="1" ht="12.75">
      <c r="I54" s="156"/>
      <c r="J54" s="389"/>
      <c r="K54" s="389"/>
      <c r="L54" s="389"/>
      <c r="X54" s="384"/>
      <c r="Y54" s="384"/>
      <c r="Z54" s="384"/>
      <c r="AA54" s="384"/>
    </row>
    <row r="55" spans="9:27" s="157" customFormat="1" ht="12.75">
      <c r="I55" s="156"/>
      <c r="J55" s="389"/>
      <c r="K55" s="389"/>
      <c r="L55" s="389"/>
      <c r="X55" s="384"/>
      <c r="Y55" s="384"/>
      <c r="Z55" s="384"/>
      <c r="AA55" s="384"/>
    </row>
    <row r="56" spans="9:27" s="157" customFormat="1" ht="12.75">
      <c r="I56" s="156"/>
      <c r="J56" s="389"/>
      <c r="K56" s="389"/>
      <c r="L56" s="389"/>
      <c r="X56" s="384"/>
      <c r="Y56" s="384"/>
      <c r="Z56" s="384"/>
      <c r="AA56" s="384"/>
    </row>
    <row r="57" spans="9:27" s="157" customFormat="1" ht="12.75">
      <c r="I57" s="156"/>
      <c r="J57" s="389"/>
      <c r="K57" s="389"/>
      <c r="L57" s="389"/>
      <c r="X57" s="384"/>
      <c r="Y57" s="384"/>
      <c r="Z57" s="384"/>
      <c r="AA57" s="384"/>
    </row>
    <row r="58" spans="9:27" s="157" customFormat="1" ht="12.75">
      <c r="I58" s="156"/>
      <c r="J58" s="389"/>
      <c r="K58" s="389"/>
      <c r="L58" s="389"/>
      <c r="X58" s="384"/>
      <c r="Y58" s="384"/>
      <c r="Z58" s="384"/>
      <c r="AA58" s="384"/>
    </row>
    <row r="59" spans="9:27" s="157" customFormat="1" ht="12.75">
      <c r="I59" s="156"/>
      <c r="J59" s="389"/>
      <c r="K59" s="389"/>
      <c r="L59" s="389"/>
      <c r="X59" s="384"/>
      <c r="Y59" s="384"/>
      <c r="Z59" s="384"/>
      <c r="AA59" s="384"/>
    </row>
    <row r="60" spans="9:27" s="157" customFormat="1" ht="12.75">
      <c r="I60" s="156"/>
      <c r="J60" s="389"/>
      <c r="K60" s="389"/>
      <c r="L60" s="389"/>
      <c r="X60" s="384"/>
      <c r="Y60" s="384"/>
      <c r="Z60" s="384"/>
      <c r="AA60" s="384"/>
    </row>
    <row r="61" spans="9:27" s="157" customFormat="1" ht="12.75">
      <c r="I61" s="156"/>
      <c r="J61" s="389"/>
      <c r="K61" s="389"/>
      <c r="L61" s="389"/>
      <c r="X61" s="384"/>
      <c r="Y61" s="384"/>
      <c r="Z61" s="384"/>
      <c r="AA61" s="384"/>
    </row>
    <row r="62" spans="9:27" s="157" customFormat="1" ht="12.75">
      <c r="I62" s="156"/>
      <c r="J62" s="389"/>
      <c r="K62" s="389"/>
      <c r="L62" s="389"/>
      <c r="X62" s="384"/>
      <c r="Y62" s="384"/>
      <c r="Z62" s="384"/>
      <c r="AA62" s="384"/>
    </row>
    <row r="63" spans="9:27" s="157" customFormat="1" ht="12.75">
      <c r="I63" s="156"/>
      <c r="J63" s="389"/>
      <c r="K63" s="389"/>
      <c r="L63" s="389"/>
      <c r="X63" s="384"/>
      <c r="Y63" s="384"/>
      <c r="Z63" s="384"/>
      <c r="AA63" s="384"/>
    </row>
    <row r="64" spans="9:27" s="157" customFormat="1" ht="12.75">
      <c r="I64" s="156"/>
      <c r="J64" s="389"/>
      <c r="K64" s="389"/>
      <c r="L64" s="389"/>
      <c r="X64" s="384"/>
      <c r="Y64" s="384"/>
      <c r="Z64" s="384"/>
      <c r="AA64" s="384"/>
    </row>
    <row r="65" spans="9:27" s="157" customFormat="1" ht="12.75">
      <c r="I65" s="156"/>
      <c r="J65" s="389"/>
      <c r="K65" s="389"/>
      <c r="L65" s="389"/>
      <c r="X65" s="384"/>
      <c r="Y65" s="384"/>
      <c r="Z65" s="384"/>
      <c r="AA65" s="384"/>
    </row>
    <row r="66" spans="9:27" s="157" customFormat="1" ht="12.75">
      <c r="I66" s="156"/>
      <c r="J66" s="389"/>
      <c r="K66" s="389"/>
      <c r="L66" s="389"/>
      <c r="X66" s="384"/>
      <c r="Y66" s="384"/>
      <c r="Z66" s="384"/>
      <c r="AA66" s="384"/>
    </row>
    <row r="67" spans="9:27" s="157" customFormat="1" ht="12.75">
      <c r="I67" s="156"/>
      <c r="J67" s="389"/>
      <c r="K67" s="389"/>
      <c r="L67" s="389"/>
      <c r="X67" s="384"/>
      <c r="Y67" s="384"/>
      <c r="Z67" s="384"/>
      <c r="AA67" s="384"/>
    </row>
    <row r="68" spans="9:27" s="157" customFormat="1" ht="12.75">
      <c r="I68" s="156"/>
      <c r="J68" s="389"/>
      <c r="K68" s="389"/>
      <c r="L68" s="389"/>
      <c r="X68" s="384"/>
      <c r="Y68" s="384"/>
      <c r="Z68" s="384"/>
      <c r="AA68" s="384"/>
    </row>
    <row r="69" spans="9:27" s="157" customFormat="1" ht="12.75">
      <c r="I69" s="156"/>
      <c r="J69" s="389"/>
      <c r="K69" s="389"/>
      <c r="L69" s="389"/>
      <c r="X69" s="384"/>
      <c r="Y69" s="384"/>
      <c r="Z69" s="384"/>
      <c r="AA69" s="384"/>
    </row>
    <row r="70" spans="9:27" s="157" customFormat="1" ht="12.75">
      <c r="I70" s="156"/>
      <c r="J70" s="389"/>
      <c r="K70" s="389"/>
      <c r="L70" s="389"/>
      <c r="X70" s="384"/>
      <c r="Y70" s="384"/>
      <c r="Z70" s="384"/>
      <c r="AA70" s="384"/>
    </row>
    <row r="71" spans="9:27" s="157" customFormat="1" ht="12.75">
      <c r="I71" s="156"/>
      <c r="J71" s="389"/>
      <c r="K71" s="389"/>
      <c r="L71" s="389"/>
      <c r="X71" s="384"/>
      <c r="Y71" s="384"/>
      <c r="Z71" s="384"/>
      <c r="AA71" s="384"/>
    </row>
    <row r="72" spans="9:27" s="157" customFormat="1" ht="12.75">
      <c r="I72" s="156"/>
      <c r="J72" s="389"/>
      <c r="K72" s="389"/>
      <c r="L72" s="389"/>
      <c r="X72" s="384"/>
      <c r="Y72" s="384"/>
      <c r="Z72" s="384"/>
      <c r="AA72" s="384"/>
    </row>
    <row r="73" spans="9:27" s="157" customFormat="1" ht="12.75">
      <c r="I73" s="156"/>
      <c r="J73" s="389"/>
      <c r="K73" s="389"/>
      <c r="L73" s="389"/>
      <c r="X73" s="384"/>
      <c r="Y73" s="384"/>
      <c r="Z73" s="384"/>
      <c r="AA73" s="384"/>
    </row>
    <row r="74" spans="9:27" s="157" customFormat="1" ht="12.75">
      <c r="I74" s="156"/>
      <c r="J74" s="389"/>
      <c r="K74" s="389"/>
      <c r="L74" s="389"/>
      <c r="X74" s="384"/>
      <c r="Y74" s="384"/>
      <c r="Z74" s="384"/>
      <c r="AA74" s="384"/>
    </row>
    <row r="75" spans="9:27" s="157" customFormat="1" ht="12.75">
      <c r="I75" s="156"/>
      <c r="J75" s="389"/>
      <c r="K75" s="389"/>
      <c r="L75" s="389"/>
      <c r="X75" s="384"/>
      <c r="Y75" s="384"/>
      <c r="Z75" s="384"/>
      <c r="AA75" s="384"/>
    </row>
    <row r="76" spans="9:27" s="157" customFormat="1" ht="12.75">
      <c r="I76" s="156"/>
      <c r="J76" s="389"/>
      <c r="K76" s="389"/>
      <c r="L76" s="389"/>
      <c r="X76" s="384"/>
      <c r="Y76" s="384"/>
      <c r="Z76" s="384"/>
      <c r="AA76" s="384"/>
    </row>
    <row r="77" spans="9:27" s="157" customFormat="1" ht="12.75">
      <c r="I77" s="156"/>
      <c r="J77" s="389"/>
      <c r="K77" s="389"/>
      <c r="L77" s="389"/>
      <c r="X77" s="384"/>
      <c r="Y77" s="384"/>
      <c r="Z77" s="384"/>
      <c r="AA77" s="384"/>
    </row>
    <row r="78" spans="9:27" s="157" customFormat="1" ht="12.75">
      <c r="I78" s="156"/>
      <c r="J78" s="389"/>
      <c r="K78" s="389"/>
      <c r="L78" s="389"/>
      <c r="X78" s="384"/>
      <c r="Y78" s="384"/>
      <c r="Z78" s="384"/>
      <c r="AA78" s="384"/>
    </row>
    <row r="79" spans="9:27" s="157" customFormat="1" ht="12.75">
      <c r="I79" s="156"/>
      <c r="J79" s="389"/>
      <c r="K79" s="389"/>
      <c r="L79" s="389"/>
      <c r="X79" s="384"/>
      <c r="Y79" s="384"/>
      <c r="Z79" s="384"/>
      <c r="AA79" s="384"/>
    </row>
    <row r="80" spans="9:27" s="157" customFormat="1" ht="12.75">
      <c r="I80" s="156"/>
      <c r="J80" s="389"/>
      <c r="K80" s="389"/>
      <c r="L80" s="389"/>
      <c r="X80" s="384"/>
      <c r="Y80" s="384"/>
      <c r="Z80" s="384"/>
      <c r="AA80" s="384"/>
    </row>
    <row r="81" spans="9:27" s="157" customFormat="1" ht="12.75">
      <c r="I81" s="156"/>
      <c r="J81" s="389"/>
      <c r="K81" s="389"/>
      <c r="L81" s="389"/>
      <c r="X81" s="384"/>
      <c r="Y81" s="384"/>
      <c r="Z81" s="384"/>
      <c r="AA81" s="384"/>
    </row>
    <row r="82" spans="9:27" s="157" customFormat="1" ht="12.75">
      <c r="I82" s="156"/>
      <c r="J82" s="389"/>
      <c r="K82" s="389"/>
      <c r="L82" s="389"/>
      <c r="X82" s="384"/>
      <c r="Y82" s="384"/>
      <c r="Z82" s="384"/>
      <c r="AA82" s="384"/>
    </row>
    <row r="83" spans="9:27" s="157" customFormat="1" ht="12.75">
      <c r="I83" s="156"/>
      <c r="J83" s="389"/>
      <c r="K83" s="389"/>
      <c r="L83" s="389"/>
      <c r="X83" s="384"/>
      <c r="Y83" s="384"/>
      <c r="Z83" s="384"/>
      <c r="AA83" s="384"/>
    </row>
    <row r="84" spans="9:27" s="157" customFormat="1" ht="12.75">
      <c r="I84" s="156"/>
      <c r="J84" s="389"/>
      <c r="K84" s="389"/>
      <c r="L84" s="389"/>
      <c r="X84" s="384"/>
      <c r="Y84" s="384"/>
      <c r="Z84" s="384"/>
      <c r="AA84" s="384"/>
    </row>
    <row r="85" spans="9:27" s="157" customFormat="1" ht="12.75">
      <c r="I85" s="156"/>
      <c r="J85" s="389"/>
      <c r="K85" s="389"/>
      <c r="L85" s="389"/>
      <c r="X85" s="384"/>
      <c r="Y85" s="384"/>
      <c r="Z85" s="384"/>
      <c r="AA85" s="384"/>
    </row>
    <row r="86" spans="9:27" s="157" customFormat="1" ht="12.75">
      <c r="I86" s="156"/>
      <c r="J86" s="389"/>
      <c r="K86" s="389"/>
      <c r="L86" s="389"/>
      <c r="X86" s="384"/>
      <c r="Y86" s="384"/>
      <c r="Z86" s="384"/>
      <c r="AA86" s="384"/>
    </row>
    <row r="87" spans="9:27" s="157" customFormat="1" ht="12.75">
      <c r="I87" s="156"/>
      <c r="J87" s="389"/>
      <c r="K87" s="389"/>
      <c r="L87" s="389"/>
      <c r="X87" s="384"/>
      <c r="Y87" s="384"/>
      <c r="Z87" s="384"/>
      <c r="AA87" s="384"/>
    </row>
    <row r="88" spans="9:27" s="157" customFormat="1" ht="12.75">
      <c r="I88" s="156"/>
      <c r="J88" s="389"/>
      <c r="K88" s="389"/>
      <c r="L88" s="389"/>
      <c r="X88" s="384"/>
      <c r="Y88" s="384"/>
      <c r="Z88" s="384"/>
      <c r="AA88" s="384"/>
    </row>
    <row r="89" spans="9:27" s="157" customFormat="1" ht="12.75">
      <c r="I89" s="156"/>
      <c r="J89" s="389"/>
      <c r="K89" s="389"/>
      <c r="L89" s="389"/>
      <c r="X89" s="384"/>
      <c r="Y89" s="384"/>
      <c r="Z89" s="384"/>
      <c r="AA89" s="384"/>
    </row>
    <row r="90" spans="9:27" s="157" customFormat="1" ht="12.75">
      <c r="I90" s="156"/>
      <c r="J90" s="389"/>
      <c r="K90" s="389"/>
      <c r="L90" s="389"/>
      <c r="X90" s="384"/>
      <c r="Y90" s="384"/>
      <c r="Z90" s="384"/>
      <c r="AA90" s="384"/>
    </row>
    <row r="91" spans="9:27" s="157" customFormat="1" ht="12.75">
      <c r="I91" s="156"/>
      <c r="J91" s="389"/>
      <c r="K91" s="389"/>
      <c r="L91" s="389"/>
      <c r="X91" s="384"/>
      <c r="Y91" s="384"/>
      <c r="Z91" s="384"/>
      <c r="AA91" s="384"/>
    </row>
    <row r="92" spans="9:27" s="157" customFormat="1" ht="12.75">
      <c r="I92" s="156"/>
      <c r="J92" s="389"/>
      <c r="K92" s="389"/>
      <c r="L92" s="389"/>
      <c r="X92" s="384"/>
      <c r="Y92" s="384"/>
      <c r="Z92" s="384"/>
      <c r="AA92" s="384"/>
    </row>
    <row r="93" spans="9:27" s="157" customFormat="1" ht="12.75">
      <c r="I93" s="156"/>
      <c r="J93" s="389"/>
      <c r="K93" s="389"/>
      <c r="L93" s="389"/>
      <c r="X93" s="384"/>
      <c r="Y93" s="384"/>
      <c r="Z93" s="384"/>
      <c r="AA93" s="384"/>
    </row>
    <row r="94" spans="9:27" s="157" customFormat="1" ht="12.75">
      <c r="I94" s="156"/>
      <c r="J94" s="389"/>
      <c r="K94" s="389"/>
      <c r="L94" s="389"/>
      <c r="X94" s="384"/>
      <c r="Y94" s="384"/>
      <c r="Z94" s="384"/>
      <c r="AA94" s="384"/>
    </row>
    <row r="95" spans="9:27" s="157" customFormat="1" ht="12.75">
      <c r="I95" s="156"/>
      <c r="J95" s="389"/>
      <c r="K95" s="389"/>
      <c r="L95" s="389"/>
      <c r="X95" s="384"/>
      <c r="Y95" s="384"/>
      <c r="Z95" s="384"/>
      <c r="AA95" s="384"/>
    </row>
    <row r="96" spans="9:27" s="157" customFormat="1" ht="12.75">
      <c r="I96" s="156"/>
      <c r="J96" s="389"/>
      <c r="K96" s="389"/>
      <c r="L96" s="389"/>
      <c r="X96" s="384"/>
      <c r="Y96" s="384"/>
      <c r="Z96" s="384"/>
      <c r="AA96" s="384"/>
    </row>
    <row r="97" spans="9:27" s="157" customFormat="1" ht="12.75">
      <c r="I97" s="156"/>
      <c r="J97" s="389"/>
      <c r="K97" s="389"/>
      <c r="L97" s="389"/>
      <c r="X97" s="384"/>
      <c r="Y97" s="384"/>
      <c r="Z97" s="384"/>
      <c r="AA97" s="384"/>
    </row>
    <row r="98" spans="9:27" s="157" customFormat="1" ht="12.75">
      <c r="I98" s="156"/>
      <c r="J98" s="389"/>
      <c r="K98" s="389"/>
      <c r="L98" s="389"/>
      <c r="X98" s="384"/>
      <c r="Y98" s="384"/>
      <c r="Z98" s="384"/>
      <c r="AA98" s="384"/>
    </row>
    <row r="99" spans="9:27" s="157" customFormat="1" ht="12.75">
      <c r="I99" s="156"/>
      <c r="J99" s="389"/>
      <c r="K99" s="389"/>
      <c r="L99" s="389"/>
      <c r="X99" s="384"/>
      <c r="Y99" s="384"/>
      <c r="Z99" s="384"/>
      <c r="AA99" s="384"/>
    </row>
    <row r="100" spans="9:27" s="157" customFormat="1" ht="12.75">
      <c r="I100" s="156"/>
      <c r="J100" s="389"/>
      <c r="K100" s="389"/>
      <c r="L100" s="389"/>
      <c r="X100" s="384"/>
      <c r="Y100" s="384"/>
      <c r="Z100" s="384"/>
      <c r="AA100" s="384"/>
    </row>
    <row r="101" spans="9:27" s="157" customFormat="1" ht="12.75">
      <c r="I101" s="156"/>
      <c r="J101" s="389"/>
      <c r="K101" s="389"/>
      <c r="L101" s="389"/>
      <c r="X101" s="384"/>
      <c r="Y101" s="384"/>
      <c r="Z101" s="384"/>
      <c r="AA101" s="384"/>
    </row>
    <row r="102" spans="9:27" s="157" customFormat="1" ht="12.75">
      <c r="I102" s="156"/>
      <c r="J102" s="389"/>
      <c r="K102" s="389"/>
      <c r="L102" s="389"/>
      <c r="X102" s="384"/>
      <c r="Y102" s="384"/>
      <c r="Z102" s="384"/>
      <c r="AA102" s="384"/>
    </row>
    <row r="103" spans="9:27" s="157" customFormat="1" ht="12.75">
      <c r="I103" s="156"/>
      <c r="J103" s="389"/>
      <c r="K103" s="389"/>
      <c r="L103" s="389"/>
      <c r="X103" s="384"/>
      <c r="Y103" s="384"/>
      <c r="Z103" s="384"/>
      <c r="AA103" s="384"/>
    </row>
    <row r="104" spans="9:27" s="157" customFormat="1" ht="12.75">
      <c r="I104" s="156"/>
      <c r="J104" s="389"/>
      <c r="K104" s="389"/>
      <c r="L104" s="389"/>
      <c r="X104" s="384"/>
      <c r="Y104" s="384"/>
      <c r="Z104" s="384"/>
      <c r="AA104" s="384"/>
    </row>
    <row r="105" spans="9:27" s="157" customFormat="1" ht="12.75">
      <c r="I105" s="156"/>
      <c r="J105" s="389"/>
      <c r="K105" s="389"/>
      <c r="L105" s="389"/>
      <c r="X105" s="384"/>
      <c r="Y105" s="384"/>
      <c r="Z105" s="384"/>
      <c r="AA105" s="384"/>
    </row>
    <row r="106" spans="9:27" s="157" customFormat="1" ht="12.75">
      <c r="I106" s="156"/>
      <c r="J106" s="389"/>
      <c r="K106" s="389"/>
      <c r="L106" s="389"/>
      <c r="X106" s="384"/>
      <c r="Y106" s="384"/>
      <c r="Z106" s="384"/>
      <c r="AA106" s="384"/>
    </row>
    <row r="107" spans="9:27" s="157" customFormat="1" ht="12.75">
      <c r="I107" s="156"/>
      <c r="J107" s="389"/>
      <c r="K107" s="389"/>
      <c r="L107" s="389"/>
      <c r="X107" s="384"/>
      <c r="Y107" s="384"/>
      <c r="Z107" s="384"/>
      <c r="AA107" s="384"/>
    </row>
    <row r="108" spans="9:27" s="157" customFormat="1" ht="12.75">
      <c r="I108" s="156"/>
      <c r="J108" s="389"/>
      <c r="K108" s="389"/>
      <c r="L108" s="389"/>
      <c r="X108" s="384"/>
      <c r="Y108" s="384"/>
      <c r="Z108" s="384"/>
      <c r="AA108" s="384"/>
    </row>
    <row r="109" spans="9:27" s="157" customFormat="1" ht="12.75">
      <c r="I109" s="156"/>
      <c r="J109" s="389"/>
      <c r="K109" s="389"/>
      <c r="L109" s="389"/>
      <c r="X109" s="384"/>
      <c r="Y109" s="384"/>
      <c r="Z109" s="384"/>
      <c r="AA109" s="384"/>
    </row>
    <row r="110" spans="9:27" s="157" customFormat="1" ht="12.75">
      <c r="I110" s="156"/>
      <c r="J110" s="389"/>
      <c r="K110" s="389"/>
      <c r="L110" s="389"/>
      <c r="X110" s="384"/>
      <c r="Y110" s="384"/>
      <c r="Z110" s="384"/>
      <c r="AA110" s="384"/>
    </row>
    <row r="111" spans="9:27" s="157" customFormat="1" ht="12.75">
      <c r="I111" s="156"/>
      <c r="J111" s="389"/>
      <c r="K111" s="389"/>
      <c r="L111" s="389"/>
      <c r="X111" s="384"/>
      <c r="Y111" s="384"/>
      <c r="Z111" s="384"/>
      <c r="AA111" s="384"/>
    </row>
    <row r="112" spans="9:27" s="157" customFormat="1" ht="12.75">
      <c r="I112" s="156"/>
      <c r="J112" s="389"/>
      <c r="K112" s="389"/>
      <c r="L112" s="389"/>
      <c r="X112" s="384"/>
      <c r="Y112" s="384"/>
      <c r="Z112" s="384"/>
      <c r="AA112" s="384"/>
    </row>
    <row r="113" spans="9:27" s="157" customFormat="1" ht="12.75">
      <c r="I113" s="156"/>
      <c r="J113" s="389"/>
      <c r="K113" s="389"/>
      <c r="L113" s="389"/>
      <c r="X113" s="384"/>
      <c r="Y113" s="384"/>
      <c r="Z113" s="384"/>
      <c r="AA113" s="384"/>
    </row>
    <row r="114" spans="9:27" s="157" customFormat="1" ht="12.75">
      <c r="I114" s="156"/>
      <c r="J114" s="389"/>
      <c r="K114" s="389"/>
      <c r="L114" s="389"/>
      <c r="X114" s="384"/>
      <c r="Y114" s="384"/>
      <c r="Z114" s="384"/>
      <c r="AA114" s="384"/>
    </row>
    <row r="115" spans="9:27" s="157" customFormat="1" ht="12.75">
      <c r="I115" s="156"/>
      <c r="J115" s="389"/>
      <c r="K115" s="389"/>
      <c r="L115" s="389"/>
      <c r="X115" s="384"/>
      <c r="Y115" s="384"/>
      <c r="Z115" s="384"/>
      <c r="AA115" s="384"/>
    </row>
    <row r="116" spans="9:27" s="157" customFormat="1" ht="12.75">
      <c r="I116" s="156"/>
      <c r="J116" s="389"/>
      <c r="K116" s="389"/>
      <c r="L116" s="389"/>
      <c r="X116" s="384"/>
      <c r="Y116" s="384"/>
      <c r="Z116" s="384"/>
      <c r="AA116" s="384"/>
    </row>
    <row r="117" spans="9:27" s="157" customFormat="1" ht="12.75">
      <c r="I117" s="156"/>
      <c r="J117" s="389"/>
      <c r="K117" s="389"/>
      <c r="L117" s="389"/>
      <c r="X117" s="384"/>
      <c r="Y117" s="384"/>
      <c r="Z117" s="384"/>
      <c r="AA117" s="384"/>
    </row>
    <row r="118" spans="9:27" s="157" customFormat="1" ht="12.75">
      <c r="I118" s="156"/>
      <c r="J118" s="389"/>
      <c r="K118" s="389"/>
      <c r="L118" s="389"/>
      <c r="X118" s="384"/>
      <c r="Y118" s="384"/>
      <c r="Z118" s="384"/>
      <c r="AA118" s="384"/>
    </row>
    <row r="119" spans="9:27" s="157" customFormat="1" ht="12.75">
      <c r="I119" s="156"/>
      <c r="J119" s="389"/>
      <c r="K119" s="389"/>
      <c r="L119" s="389"/>
      <c r="X119" s="384"/>
      <c r="Y119" s="384"/>
      <c r="Z119" s="384"/>
      <c r="AA119" s="384"/>
    </row>
    <row r="120" spans="9:27" s="157" customFormat="1" ht="12.75">
      <c r="I120" s="156"/>
      <c r="J120" s="389"/>
      <c r="K120" s="389"/>
      <c r="L120" s="389"/>
      <c r="X120" s="384"/>
      <c r="Y120" s="384"/>
      <c r="Z120" s="384"/>
      <c r="AA120" s="384"/>
    </row>
    <row r="121" spans="9:27" s="157" customFormat="1" ht="12.75">
      <c r="I121" s="156"/>
      <c r="J121" s="389"/>
      <c r="K121" s="389"/>
      <c r="L121" s="389"/>
      <c r="X121" s="384"/>
      <c r="Y121" s="384"/>
      <c r="Z121" s="384"/>
      <c r="AA121" s="384"/>
    </row>
    <row r="122" spans="9:27" s="157" customFormat="1" ht="12.75">
      <c r="I122" s="156"/>
      <c r="J122" s="389"/>
      <c r="K122" s="389"/>
      <c r="L122" s="389"/>
      <c r="X122" s="384"/>
      <c r="Y122" s="384"/>
      <c r="Z122" s="384"/>
      <c r="AA122" s="384"/>
    </row>
    <row r="123" spans="9:27" s="157" customFormat="1" ht="12.75">
      <c r="I123" s="156"/>
      <c r="J123" s="389"/>
      <c r="K123" s="389"/>
      <c r="L123" s="389"/>
      <c r="X123" s="384"/>
      <c r="Y123" s="384"/>
      <c r="Z123" s="384"/>
      <c r="AA123" s="384"/>
    </row>
    <row r="124" spans="9:27" s="157" customFormat="1" ht="12.75">
      <c r="I124" s="156"/>
      <c r="J124" s="389"/>
      <c r="K124" s="389"/>
      <c r="L124" s="389"/>
      <c r="X124" s="384"/>
      <c r="Y124" s="384"/>
      <c r="Z124" s="384"/>
      <c r="AA124" s="384"/>
    </row>
    <row r="125" spans="9:27" s="157" customFormat="1" ht="12.75">
      <c r="I125" s="156"/>
      <c r="J125" s="389"/>
      <c r="K125" s="389"/>
      <c r="L125" s="389"/>
      <c r="X125" s="384"/>
      <c r="Y125" s="384"/>
      <c r="Z125" s="384"/>
      <c r="AA125" s="384"/>
    </row>
    <row r="126" spans="9:27" s="157" customFormat="1" ht="12.75">
      <c r="I126" s="156"/>
      <c r="J126" s="389"/>
      <c r="K126" s="389"/>
      <c r="L126" s="389"/>
      <c r="X126" s="384"/>
      <c r="Y126" s="384"/>
      <c r="Z126" s="384"/>
      <c r="AA126" s="384"/>
    </row>
    <row r="127" spans="9:27" s="157" customFormat="1" ht="12.75">
      <c r="I127" s="156"/>
      <c r="J127" s="389"/>
      <c r="K127" s="389"/>
      <c r="L127" s="389"/>
      <c r="X127" s="384"/>
      <c r="Y127" s="384"/>
      <c r="Z127" s="384"/>
      <c r="AA127" s="384"/>
    </row>
    <row r="128" spans="9:27" s="157" customFormat="1" ht="12.75">
      <c r="I128" s="156"/>
      <c r="J128" s="389"/>
      <c r="K128" s="389"/>
      <c r="L128" s="389"/>
      <c r="X128" s="384"/>
      <c r="Y128" s="384"/>
      <c r="Z128" s="384"/>
      <c r="AA128" s="384"/>
    </row>
    <row r="129" spans="9:27" s="157" customFormat="1" ht="12.75">
      <c r="I129" s="156"/>
      <c r="J129" s="389"/>
      <c r="K129" s="389"/>
      <c r="L129" s="389"/>
      <c r="X129" s="384"/>
      <c r="Y129" s="384"/>
      <c r="Z129" s="384"/>
      <c r="AA129" s="384"/>
    </row>
    <row r="130" spans="9:27" s="157" customFormat="1" ht="12.75">
      <c r="I130" s="156"/>
      <c r="J130" s="389"/>
      <c r="K130" s="389"/>
      <c r="L130" s="389"/>
      <c r="X130" s="384"/>
      <c r="Y130" s="384"/>
      <c r="Z130" s="384"/>
      <c r="AA130" s="384"/>
    </row>
    <row r="131" spans="9:27" s="157" customFormat="1" ht="12.75">
      <c r="I131" s="156"/>
      <c r="J131" s="389"/>
      <c r="K131" s="389"/>
      <c r="L131" s="389"/>
      <c r="X131" s="384"/>
      <c r="Y131" s="384"/>
      <c r="Z131" s="384"/>
      <c r="AA131" s="384"/>
    </row>
    <row r="132" spans="9:27" s="157" customFormat="1" ht="12.75">
      <c r="I132" s="156"/>
      <c r="J132" s="389"/>
      <c r="K132" s="389"/>
      <c r="L132" s="389"/>
      <c r="X132" s="384"/>
      <c r="Y132" s="384"/>
      <c r="Z132" s="384"/>
      <c r="AA132" s="384"/>
    </row>
    <row r="133" spans="9:27" s="157" customFormat="1" ht="12.75">
      <c r="I133" s="156"/>
      <c r="J133" s="389"/>
      <c r="K133" s="389"/>
      <c r="L133" s="389"/>
      <c r="X133" s="384"/>
      <c r="Y133" s="384"/>
      <c r="Z133" s="384"/>
      <c r="AA133" s="384"/>
    </row>
    <row r="134" spans="9:27" s="157" customFormat="1" ht="12.75">
      <c r="I134" s="156"/>
      <c r="J134" s="389"/>
      <c r="K134" s="389"/>
      <c r="L134" s="389"/>
      <c r="X134" s="384"/>
      <c r="Y134" s="384"/>
      <c r="Z134" s="384"/>
      <c r="AA134" s="384"/>
    </row>
    <row r="135" spans="9:27" s="157" customFormat="1" ht="12.75">
      <c r="I135" s="156"/>
      <c r="J135" s="389"/>
      <c r="K135" s="389"/>
      <c r="L135" s="389"/>
      <c r="X135" s="384"/>
      <c r="Y135" s="384"/>
      <c r="Z135" s="384"/>
      <c r="AA135" s="384"/>
    </row>
    <row r="136" spans="9:27" s="157" customFormat="1" ht="12.75">
      <c r="I136" s="156"/>
      <c r="J136" s="389"/>
      <c r="K136" s="389"/>
      <c r="L136" s="389"/>
      <c r="X136" s="384"/>
      <c r="Y136" s="384"/>
      <c r="Z136" s="384"/>
      <c r="AA136" s="384"/>
    </row>
    <row r="137" spans="9:27" s="157" customFormat="1" ht="12.75">
      <c r="I137" s="156"/>
      <c r="J137" s="389"/>
      <c r="K137" s="389"/>
      <c r="L137" s="389"/>
      <c r="X137" s="384"/>
      <c r="Y137" s="384"/>
      <c r="Z137" s="384"/>
      <c r="AA137" s="384"/>
    </row>
    <row r="138" spans="9:27" s="157" customFormat="1" ht="12.75">
      <c r="I138" s="156"/>
      <c r="J138" s="389"/>
      <c r="K138" s="389"/>
      <c r="L138" s="389"/>
      <c r="X138" s="384"/>
      <c r="Y138" s="384"/>
      <c r="Z138" s="384"/>
      <c r="AA138" s="384"/>
    </row>
    <row r="139" spans="9:27" s="157" customFormat="1" ht="12.75">
      <c r="I139" s="156"/>
      <c r="J139" s="389"/>
      <c r="K139" s="389"/>
      <c r="L139" s="389"/>
      <c r="X139" s="384"/>
      <c r="Y139" s="384"/>
      <c r="Z139" s="384"/>
      <c r="AA139" s="384"/>
    </row>
    <row r="140" spans="9:27" s="157" customFormat="1" ht="12.75">
      <c r="I140" s="156"/>
      <c r="J140" s="389"/>
      <c r="K140" s="389"/>
      <c r="L140" s="389"/>
      <c r="X140" s="384"/>
      <c r="Y140" s="384"/>
      <c r="Z140" s="384"/>
      <c r="AA140" s="384"/>
    </row>
    <row r="141" spans="9:27" s="157" customFormat="1" ht="12.75">
      <c r="I141" s="156"/>
      <c r="J141" s="389"/>
      <c r="K141" s="389"/>
      <c r="L141" s="389"/>
      <c r="X141" s="384"/>
      <c r="Y141" s="384"/>
      <c r="Z141" s="384"/>
      <c r="AA141" s="384"/>
    </row>
    <row r="142" spans="9:27" s="157" customFormat="1" ht="12.75">
      <c r="I142" s="156"/>
      <c r="J142" s="389"/>
      <c r="K142" s="389"/>
      <c r="L142" s="389"/>
      <c r="X142" s="384"/>
      <c r="Y142" s="384"/>
      <c r="Z142" s="384"/>
      <c r="AA142" s="384"/>
    </row>
    <row r="143" spans="9:27" s="157" customFormat="1" ht="12.75">
      <c r="I143" s="156"/>
      <c r="J143" s="389"/>
      <c r="K143" s="389"/>
      <c r="L143" s="389"/>
      <c r="X143" s="384"/>
      <c r="Y143" s="384"/>
      <c r="Z143" s="384"/>
      <c r="AA143" s="384"/>
    </row>
    <row r="144" spans="9:27" s="157" customFormat="1" ht="12.75">
      <c r="I144" s="156"/>
      <c r="J144" s="389"/>
      <c r="K144" s="389"/>
      <c r="L144" s="389"/>
      <c r="X144" s="384"/>
      <c r="Y144" s="384"/>
      <c r="Z144" s="384"/>
      <c r="AA144" s="384"/>
    </row>
    <row r="145" spans="9:27" s="157" customFormat="1" ht="12.75">
      <c r="I145" s="156"/>
      <c r="J145" s="389"/>
      <c r="K145" s="389"/>
      <c r="L145" s="389"/>
      <c r="X145" s="384"/>
      <c r="Y145" s="384"/>
      <c r="Z145" s="384"/>
      <c r="AA145" s="384"/>
    </row>
    <row r="146" spans="9:27" s="157" customFormat="1" ht="12.75">
      <c r="I146" s="156"/>
      <c r="J146" s="389"/>
      <c r="K146" s="389"/>
      <c r="L146" s="389"/>
      <c r="X146" s="384"/>
      <c r="Y146" s="384"/>
      <c r="Z146" s="384"/>
      <c r="AA146" s="384"/>
    </row>
    <row r="147" spans="9:27" s="157" customFormat="1" ht="12.75">
      <c r="I147" s="156"/>
      <c r="J147" s="389"/>
      <c r="K147" s="389"/>
      <c r="L147" s="389"/>
      <c r="X147" s="384"/>
      <c r="Y147" s="384"/>
      <c r="Z147" s="384"/>
      <c r="AA147" s="384"/>
    </row>
    <row r="148" spans="9:27" s="157" customFormat="1" ht="12.75">
      <c r="I148" s="156"/>
      <c r="J148" s="389"/>
      <c r="K148" s="389"/>
      <c r="L148" s="389"/>
      <c r="X148" s="384"/>
      <c r="Y148" s="384"/>
      <c r="Z148" s="384"/>
      <c r="AA148" s="384"/>
    </row>
    <row r="149" spans="9:27" s="157" customFormat="1" ht="12.75">
      <c r="I149" s="156"/>
      <c r="J149" s="389"/>
      <c r="K149" s="389"/>
      <c r="L149" s="389"/>
      <c r="X149" s="384"/>
      <c r="Y149" s="384"/>
      <c r="Z149" s="384"/>
      <c r="AA149" s="384"/>
    </row>
    <row r="150" spans="9:27" s="157" customFormat="1" ht="12.75">
      <c r="I150" s="156"/>
      <c r="J150" s="389"/>
      <c r="K150" s="389"/>
      <c r="L150" s="389"/>
      <c r="X150" s="384"/>
      <c r="Y150" s="384"/>
      <c r="Z150" s="384"/>
      <c r="AA150" s="384"/>
    </row>
    <row r="151" spans="9:27" s="157" customFormat="1" ht="12.75">
      <c r="I151" s="156"/>
      <c r="J151" s="389"/>
      <c r="K151" s="389"/>
      <c r="L151" s="389"/>
      <c r="X151" s="384"/>
      <c r="Y151" s="384"/>
      <c r="Z151" s="384"/>
      <c r="AA151" s="384"/>
    </row>
    <row r="152" spans="9:27" s="157" customFormat="1" ht="12.75">
      <c r="I152" s="156"/>
      <c r="J152" s="389"/>
      <c r="K152" s="389"/>
      <c r="L152" s="389"/>
      <c r="X152" s="384"/>
      <c r="Y152" s="384"/>
      <c r="Z152" s="384"/>
      <c r="AA152" s="384"/>
    </row>
  </sheetData>
  <sheetProtection selectLockedCells="1" selectUnlockedCells="1"/>
  <mergeCells count="1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W1"/>
    <mergeCell ref="A18:G18"/>
    <mergeCell ref="A19:G19"/>
    <mergeCell ref="A20:G20"/>
  </mergeCells>
  <conditionalFormatting sqref="Z3:AA17 AA2:AA17">
    <cfRule type="expression" priority="1" dxfId="0" stopIfTrue="1">
      <formula>NOT(ISERROR(SEARCH("fałsz",Z2)))</formula>
    </cfRule>
  </conditionalFormatting>
  <printOptions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8"/>
  <headerFooter alignWithMargins="0">
    <oddHeader>&amp;L000000Województwo śląskie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showGridLines="0" tabSelected="1" view="pageBreakPreview" zoomScale="110" zoomScaleNormal="78" zoomScaleSheetLayoutView="110" workbookViewId="0" topLeftCell="G1">
      <selection activeCell="Z68" sqref="Z68"/>
    </sheetView>
  </sheetViews>
  <sheetFormatPr defaultColWidth="28.57421875" defaultRowHeight="15"/>
  <cols>
    <col min="1" max="1" width="5.8515625" style="252" customWidth="1"/>
    <col min="2" max="2" width="15.28125" style="239" customWidth="1"/>
    <col min="3" max="3" width="14.28125" style="239" customWidth="1"/>
    <col min="4" max="4" width="23.421875" style="239" customWidth="1"/>
    <col min="5" max="5" width="10.7109375" style="239" customWidth="1"/>
    <col min="6" max="6" width="18.421875" style="252" customWidth="1"/>
    <col min="7" max="7" width="52.8515625" style="239" customWidth="1"/>
    <col min="8" max="8" width="15.00390625" style="239" customWidth="1"/>
    <col min="9" max="9" width="13.8515625" style="239" customWidth="1"/>
    <col min="10" max="10" width="19.57421875" style="252" customWidth="1"/>
    <col min="11" max="11" width="17.7109375" style="390" customWidth="1"/>
    <col min="12" max="12" width="14.7109375" style="239" customWidth="1"/>
    <col min="13" max="13" width="14.7109375" style="391" customWidth="1"/>
    <col min="14" max="14" width="14.140625" style="252" customWidth="1"/>
    <col min="15" max="15" width="9.8515625" style="239" customWidth="1"/>
    <col min="16" max="16" width="11.140625" style="239" customWidth="1"/>
    <col min="17" max="24" width="12.7109375" style="239" customWidth="1"/>
    <col min="25" max="28" width="10.421875" style="154" customWidth="1"/>
    <col min="29" max="16384" width="27.57421875" style="239" customWidth="1"/>
  </cols>
  <sheetData>
    <row r="1" spans="1:28" ht="30.75" customHeight="1">
      <c r="A1" s="165" t="s">
        <v>21</v>
      </c>
      <c r="B1" s="165" t="s">
        <v>22</v>
      </c>
      <c r="C1" s="166" t="s">
        <v>520</v>
      </c>
      <c r="D1" s="165" t="s">
        <v>24</v>
      </c>
      <c r="E1" s="165" t="s">
        <v>25</v>
      </c>
      <c r="F1" s="165" t="s">
        <v>182</v>
      </c>
      <c r="G1" s="165" t="s">
        <v>26</v>
      </c>
      <c r="H1" s="165" t="s">
        <v>27</v>
      </c>
      <c r="I1" s="165" t="s">
        <v>28</v>
      </c>
      <c r="J1" s="165" t="s">
        <v>29</v>
      </c>
      <c r="K1" s="165" t="s">
        <v>30</v>
      </c>
      <c r="L1" s="165" t="s">
        <v>521</v>
      </c>
      <c r="M1" s="165" t="s">
        <v>32</v>
      </c>
      <c r="N1" s="165" t="s">
        <v>33</v>
      </c>
      <c r="O1" s="165" t="s">
        <v>10</v>
      </c>
      <c r="P1" s="165"/>
      <c r="Q1" s="165"/>
      <c r="R1" s="165"/>
      <c r="S1" s="165"/>
      <c r="T1" s="165"/>
      <c r="U1" s="165"/>
      <c r="V1" s="165"/>
      <c r="W1" s="165"/>
      <c r="X1" s="165"/>
      <c r="Y1" s="167"/>
      <c r="Z1" s="167"/>
      <c r="AA1" s="167"/>
      <c r="AB1" s="167"/>
    </row>
    <row r="2" spans="1:28" ht="19.5" customHeight="1">
      <c r="A2" s="165"/>
      <c r="B2" s="165"/>
      <c r="C2" s="166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>
        <v>2019</v>
      </c>
      <c r="P2" s="165">
        <v>2020</v>
      </c>
      <c r="Q2" s="165">
        <v>2021</v>
      </c>
      <c r="R2" s="165">
        <v>2022</v>
      </c>
      <c r="S2" s="165">
        <v>2023</v>
      </c>
      <c r="T2" s="165">
        <v>2024</v>
      </c>
      <c r="U2" s="165">
        <v>2025</v>
      </c>
      <c r="V2" s="165">
        <v>2026</v>
      </c>
      <c r="W2" s="165">
        <v>2027</v>
      </c>
      <c r="X2" s="165">
        <v>2028</v>
      </c>
      <c r="Y2" s="167" t="s">
        <v>34</v>
      </c>
      <c r="Z2" s="167" t="s">
        <v>35</v>
      </c>
      <c r="AA2" s="167" t="s">
        <v>36</v>
      </c>
      <c r="AB2" s="173" t="s">
        <v>37</v>
      </c>
    </row>
    <row r="3" spans="1:28" s="326" customFormat="1" ht="12.75">
      <c r="A3" s="211">
        <v>1</v>
      </c>
      <c r="B3" s="211" t="s">
        <v>561</v>
      </c>
      <c r="C3" s="211" t="s">
        <v>117</v>
      </c>
      <c r="D3" s="210" t="s">
        <v>409</v>
      </c>
      <c r="E3" s="308" t="s">
        <v>410</v>
      </c>
      <c r="F3" s="211" t="s">
        <v>411</v>
      </c>
      <c r="G3" s="224" t="s">
        <v>562</v>
      </c>
      <c r="H3" s="206" t="s">
        <v>42</v>
      </c>
      <c r="I3" s="321">
        <v>0.371</v>
      </c>
      <c r="J3" s="214" t="s">
        <v>337</v>
      </c>
      <c r="K3" s="216">
        <v>746900</v>
      </c>
      <c r="L3" s="216">
        <v>373450</v>
      </c>
      <c r="M3" s="237">
        <f aca="true" t="shared" si="0" ref="M3:M34">K3-L3</f>
        <v>373450</v>
      </c>
      <c r="N3" s="217">
        <v>0.5</v>
      </c>
      <c r="O3" s="322"/>
      <c r="P3" s="322"/>
      <c r="Q3" s="318"/>
      <c r="R3" s="318">
        <v>373450</v>
      </c>
      <c r="S3" s="318"/>
      <c r="T3" s="318"/>
      <c r="U3" s="318"/>
      <c r="V3" s="318"/>
      <c r="W3" s="318"/>
      <c r="X3" s="318"/>
      <c r="Y3" s="167" t="b">
        <f aca="true" t="shared" si="1" ref="Y3:Y34">L3=SUM(O3:X3)</f>
        <v>1</v>
      </c>
      <c r="Z3" s="185">
        <f aca="true" t="shared" si="2" ref="Z3:Z34">ROUND(L3/K3,4)</f>
        <v>0.5</v>
      </c>
      <c r="AA3" s="186" t="b">
        <f aca="true" t="shared" si="3" ref="AA3:AA34">Z3=N3</f>
        <v>1</v>
      </c>
      <c r="AB3" s="186" t="b">
        <f aca="true" t="shared" si="4" ref="AB3:AB34">K3=L3+M3</f>
        <v>1</v>
      </c>
    </row>
    <row r="4" spans="1:30" s="205" customFormat="1" ht="12.75">
      <c r="A4" s="175">
        <v>2</v>
      </c>
      <c r="B4" s="175" t="s">
        <v>563</v>
      </c>
      <c r="C4" s="175" t="s">
        <v>110</v>
      </c>
      <c r="D4" s="204" t="s">
        <v>564</v>
      </c>
      <c r="E4" s="313" t="s">
        <v>565</v>
      </c>
      <c r="F4" s="301" t="s">
        <v>222</v>
      </c>
      <c r="G4" s="177" t="s">
        <v>566</v>
      </c>
      <c r="H4" s="324" t="s">
        <v>59</v>
      </c>
      <c r="I4" s="198">
        <v>1.665</v>
      </c>
      <c r="J4" s="199" t="s">
        <v>567</v>
      </c>
      <c r="K4" s="179">
        <v>4932000</v>
      </c>
      <c r="L4" s="179">
        <v>2466000</v>
      </c>
      <c r="M4" s="180">
        <f t="shared" si="0"/>
        <v>2466000</v>
      </c>
      <c r="N4" s="181">
        <v>0.5</v>
      </c>
      <c r="O4" s="315"/>
      <c r="P4" s="315"/>
      <c r="Q4" s="316"/>
      <c r="R4" s="316">
        <v>72500</v>
      </c>
      <c r="S4" s="316">
        <v>1196750</v>
      </c>
      <c r="T4" s="316">
        <v>1196750</v>
      </c>
      <c r="U4" s="316"/>
      <c r="V4" s="316"/>
      <c r="W4" s="316"/>
      <c r="X4" s="316"/>
      <c r="Y4" s="167" t="b">
        <f t="shared" si="1"/>
        <v>1</v>
      </c>
      <c r="Z4" s="185">
        <f t="shared" si="2"/>
        <v>0.5</v>
      </c>
      <c r="AA4" s="186" t="b">
        <f t="shared" si="3"/>
        <v>1</v>
      </c>
      <c r="AB4" s="186" t="b">
        <f t="shared" si="4"/>
        <v>1</v>
      </c>
      <c r="AD4" s="325"/>
    </row>
    <row r="5" spans="1:28" s="327" customFormat="1" ht="12.75">
      <c r="A5" s="175">
        <v>3</v>
      </c>
      <c r="B5" s="175" t="s">
        <v>568</v>
      </c>
      <c r="C5" s="175" t="s">
        <v>110</v>
      </c>
      <c r="D5" s="204" t="s">
        <v>569</v>
      </c>
      <c r="E5" s="313" t="s">
        <v>570</v>
      </c>
      <c r="F5" s="175" t="s">
        <v>210</v>
      </c>
      <c r="G5" s="177" t="s">
        <v>571</v>
      </c>
      <c r="H5" s="174" t="s">
        <v>59</v>
      </c>
      <c r="I5" s="198">
        <v>0.99</v>
      </c>
      <c r="J5" s="199" t="s">
        <v>572</v>
      </c>
      <c r="K5" s="179">
        <v>2297390</v>
      </c>
      <c r="L5" s="179">
        <v>1148695</v>
      </c>
      <c r="M5" s="180">
        <f t="shared" si="0"/>
        <v>1148695</v>
      </c>
      <c r="N5" s="181">
        <v>0.5</v>
      </c>
      <c r="O5" s="315"/>
      <c r="P5" s="315"/>
      <c r="Q5" s="316"/>
      <c r="R5" s="316">
        <v>25000</v>
      </c>
      <c r="S5" s="316">
        <v>1123695</v>
      </c>
      <c r="T5" s="316"/>
      <c r="U5" s="316"/>
      <c r="V5" s="316"/>
      <c r="W5" s="316"/>
      <c r="X5" s="316"/>
      <c r="Y5" s="167" t="b">
        <f t="shared" si="1"/>
        <v>1</v>
      </c>
      <c r="Z5" s="185">
        <f t="shared" si="2"/>
        <v>0.5</v>
      </c>
      <c r="AA5" s="186" t="b">
        <f t="shared" si="3"/>
        <v>1</v>
      </c>
      <c r="AB5" s="186" t="b">
        <f t="shared" si="4"/>
        <v>1</v>
      </c>
    </row>
    <row r="6" spans="1:28" s="326" customFormat="1" ht="12.75">
      <c r="A6" s="211">
        <v>4</v>
      </c>
      <c r="B6" s="211" t="s">
        <v>573</v>
      </c>
      <c r="C6" s="211" t="s">
        <v>117</v>
      </c>
      <c r="D6" s="210" t="s">
        <v>574</v>
      </c>
      <c r="E6" s="308" t="s">
        <v>575</v>
      </c>
      <c r="F6" s="211" t="s">
        <v>411</v>
      </c>
      <c r="G6" s="224" t="s">
        <v>576</v>
      </c>
      <c r="H6" s="206" t="s">
        <v>42</v>
      </c>
      <c r="I6" s="321">
        <v>2.3</v>
      </c>
      <c r="J6" s="214" t="s">
        <v>369</v>
      </c>
      <c r="K6" s="216">
        <v>792085</v>
      </c>
      <c r="L6" s="216">
        <v>396042.5</v>
      </c>
      <c r="M6" s="237">
        <f t="shared" si="0"/>
        <v>396042.5</v>
      </c>
      <c r="N6" s="217">
        <v>0.5</v>
      </c>
      <c r="O6" s="322"/>
      <c r="P6" s="322"/>
      <c r="Q6" s="318"/>
      <c r="R6" s="318">
        <v>396042.5</v>
      </c>
      <c r="S6" s="318"/>
      <c r="T6" s="318"/>
      <c r="U6" s="318"/>
      <c r="V6" s="318"/>
      <c r="W6" s="318"/>
      <c r="X6" s="318"/>
      <c r="Y6" s="167" t="b">
        <f t="shared" si="1"/>
        <v>1</v>
      </c>
      <c r="Z6" s="185">
        <f t="shared" si="2"/>
        <v>0.5</v>
      </c>
      <c r="AA6" s="186" t="b">
        <f t="shared" si="3"/>
        <v>1</v>
      </c>
      <c r="AB6" s="186" t="b">
        <f t="shared" si="4"/>
        <v>1</v>
      </c>
    </row>
    <row r="7" spans="1:28" s="326" customFormat="1" ht="12.75">
      <c r="A7" s="211">
        <v>5</v>
      </c>
      <c r="B7" s="211" t="s">
        <v>577</v>
      </c>
      <c r="C7" s="211" t="s">
        <v>117</v>
      </c>
      <c r="D7" s="210" t="s">
        <v>578</v>
      </c>
      <c r="E7" s="308" t="s">
        <v>579</v>
      </c>
      <c r="F7" s="211" t="s">
        <v>411</v>
      </c>
      <c r="G7" s="224" t="s">
        <v>580</v>
      </c>
      <c r="H7" s="206" t="s">
        <v>42</v>
      </c>
      <c r="I7" s="321">
        <v>0.314</v>
      </c>
      <c r="J7" s="214" t="s">
        <v>369</v>
      </c>
      <c r="K7" s="216">
        <v>509943</v>
      </c>
      <c r="L7" s="216">
        <v>254971.5</v>
      </c>
      <c r="M7" s="237">
        <f t="shared" si="0"/>
        <v>254971.5</v>
      </c>
      <c r="N7" s="217">
        <v>0.5</v>
      </c>
      <c r="O7" s="322"/>
      <c r="P7" s="322"/>
      <c r="Q7" s="318"/>
      <c r="R7" s="318">
        <v>254971.5</v>
      </c>
      <c r="S7" s="318"/>
      <c r="T7" s="318"/>
      <c r="U7" s="318"/>
      <c r="V7" s="318"/>
      <c r="W7" s="318"/>
      <c r="X7" s="318"/>
      <c r="Y7" s="167" t="b">
        <f t="shared" si="1"/>
        <v>1</v>
      </c>
      <c r="Z7" s="185">
        <f t="shared" si="2"/>
        <v>0.5</v>
      </c>
      <c r="AA7" s="186" t="b">
        <f t="shared" si="3"/>
        <v>1</v>
      </c>
      <c r="AB7" s="186" t="b">
        <f t="shared" si="4"/>
        <v>1</v>
      </c>
    </row>
    <row r="8" spans="1:28" s="327" customFormat="1" ht="12.75">
      <c r="A8" s="175">
        <v>6</v>
      </c>
      <c r="B8" s="175" t="s">
        <v>581</v>
      </c>
      <c r="C8" s="175" t="s">
        <v>110</v>
      </c>
      <c r="D8" s="204" t="s">
        <v>48</v>
      </c>
      <c r="E8" s="313" t="s">
        <v>582</v>
      </c>
      <c r="F8" s="175" t="s">
        <v>583</v>
      </c>
      <c r="G8" s="177" t="s">
        <v>584</v>
      </c>
      <c r="H8" s="174" t="s">
        <v>42</v>
      </c>
      <c r="I8" s="198">
        <v>0.61</v>
      </c>
      <c r="J8" s="199" t="s">
        <v>585</v>
      </c>
      <c r="K8" s="179">
        <v>7951757</v>
      </c>
      <c r="L8" s="179">
        <v>3975878.5</v>
      </c>
      <c r="M8" s="180">
        <f t="shared" si="0"/>
        <v>3975878.5</v>
      </c>
      <c r="N8" s="181">
        <v>0.5</v>
      </c>
      <c r="O8" s="315"/>
      <c r="P8" s="315"/>
      <c r="Q8" s="316"/>
      <c r="R8" s="316">
        <v>1000000</v>
      </c>
      <c r="S8" s="316">
        <v>1500000</v>
      </c>
      <c r="T8" s="316">
        <v>1475878.5</v>
      </c>
      <c r="U8" s="316"/>
      <c r="V8" s="316"/>
      <c r="W8" s="316"/>
      <c r="X8" s="316"/>
      <c r="Y8" s="167" t="b">
        <f t="shared" si="1"/>
        <v>1</v>
      </c>
      <c r="Z8" s="185">
        <f t="shared" si="2"/>
        <v>0.5</v>
      </c>
      <c r="AA8" s="186" t="b">
        <f t="shared" si="3"/>
        <v>1</v>
      </c>
      <c r="AB8" s="186" t="b">
        <f t="shared" si="4"/>
        <v>1</v>
      </c>
    </row>
    <row r="9" spans="1:30" s="223" customFormat="1" ht="12.75">
      <c r="A9" s="211">
        <v>7</v>
      </c>
      <c r="B9" s="211" t="s">
        <v>586</v>
      </c>
      <c r="C9" s="211" t="s">
        <v>117</v>
      </c>
      <c r="D9" s="210" t="s">
        <v>587</v>
      </c>
      <c r="E9" s="308" t="s">
        <v>588</v>
      </c>
      <c r="F9" s="319" t="s">
        <v>283</v>
      </c>
      <c r="G9" s="224" t="s">
        <v>589</v>
      </c>
      <c r="H9" s="320" t="s">
        <v>59</v>
      </c>
      <c r="I9" s="321">
        <v>0.621</v>
      </c>
      <c r="J9" s="214" t="s">
        <v>468</v>
      </c>
      <c r="K9" s="216">
        <v>1615330</v>
      </c>
      <c r="L9" s="216">
        <v>807665</v>
      </c>
      <c r="M9" s="237">
        <f t="shared" si="0"/>
        <v>807665</v>
      </c>
      <c r="N9" s="217">
        <v>0.5</v>
      </c>
      <c r="O9" s="322"/>
      <c r="P9" s="322"/>
      <c r="Q9" s="318"/>
      <c r="R9" s="318">
        <v>807665</v>
      </c>
      <c r="S9" s="318"/>
      <c r="T9" s="318"/>
      <c r="U9" s="318"/>
      <c r="V9" s="318"/>
      <c r="W9" s="318"/>
      <c r="X9" s="318"/>
      <c r="Y9" s="167" t="b">
        <f t="shared" si="1"/>
        <v>1</v>
      </c>
      <c r="Z9" s="185">
        <f t="shared" si="2"/>
        <v>0.5</v>
      </c>
      <c r="AA9" s="186" t="b">
        <f t="shared" si="3"/>
        <v>1</v>
      </c>
      <c r="AB9" s="186" t="b">
        <f t="shared" si="4"/>
        <v>1</v>
      </c>
      <c r="AD9" s="323"/>
    </row>
    <row r="10" spans="1:28" s="326" customFormat="1" ht="12.75">
      <c r="A10" s="211">
        <v>8</v>
      </c>
      <c r="B10" s="211" t="s">
        <v>590</v>
      </c>
      <c r="C10" s="211" t="s">
        <v>117</v>
      </c>
      <c r="D10" s="210" t="s">
        <v>574</v>
      </c>
      <c r="E10" s="308" t="s">
        <v>575</v>
      </c>
      <c r="F10" s="211" t="s">
        <v>411</v>
      </c>
      <c r="G10" s="224" t="s">
        <v>591</v>
      </c>
      <c r="H10" s="206" t="s">
        <v>42</v>
      </c>
      <c r="I10" s="321">
        <v>0.69</v>
      </c>
      <c r="J10" s="214" t="s">
        <v>369</v>
      </c>
      <c r="K10" s="216">
        <v>714647</v>
      </c>
      <c r="L10" s="216">
        <v>357323.5</v>
      </c>
      <c r="M10" s="237">
        <f t="shared" si="0"/>
        <v>357323.5</v>
      </c>
      <c r="N10" s="217">
        <v>0.5</v>
      </c>
      <c r="O10" s="322"/>
      <c r="P10" s="322"/>
      <c r="Q10" s="318"/>
      <c r="R10" s="318">
        <v>357323.5</v>
      </c>
      <c r="S10" s="318"/>
      <c r="T10" s="318"/>
      <c r="U10" s="318"/>
      <c r="V10" s="318"/>
      <c r="W10" s="318"/>
      <c r="X10" s="318"/>
      <c r="Y10" s="167" t="b">
        <f t="shared" si="1"/>
        <v>1</v>
      </c>
      <c r="Z10" s="185">
        <f t="shared" si="2"/>
        <v>0.5</v>
      </c>
      <c r="AA10" s="186" t="b">
        <f t="shared" si="3"/>
        <v>1</v>
      </c>
      <c r="AB10" s="186" t="b">
        <f t="shared" si="4"/>
        <v>1</v>
      </c>
    </row>
    <row r="11" spans="1:28" s="326" customFormat="1" ht="12.75">
      <c r="A11" s="211">
        <v>9</v>
      </c>
      <c r="B11" s="211" t="s">
        <v>592</v>
      </c>
      <c r="C11" s="211" t="s">
        <v>117</v>
      </c>
      <c r="D11" s="210" t="s">
        <v>593</v>
      </c>
      <c r="E11" s="308" t="s">
        <v>594</v>
      </c>
      <c r="F11" s="211" t="s">
        <v>595</v>
      </c>
      <c r="G11" s="224" t="s">
        <v>596</v>
      </c>
      <c r="H11" s="206" t="s">
        <v>59</v>
      </c>
      <c r="I11" s="321">
        <v>0.521</v>
      </c>
      <c r="J11" s="214" t="s">
        <v>369</v>
      </c>
      <c r="K11" s="216">
        <v>12741819</v>
      </c>
      <c r="L11" s="216">
        <v>6370909.5</v>
      </c>
      <c r="M11" s="237">
        <f t="shared" si="0"/>
        <v>6370909.5</v>
      </c>
      <c r="N11" s="217">
        <v>0.5</v>
      </c>
      <c r="O11" s="322"/>
      <c r="P11" s="322"/>
      <c r="Q11" s="318"/>
      <c r="R11" s="318">
        <v>6370909.5</v>
      </c>
      <c r="S11" s="318"/>
      <c r="T11" s="318"/>
      <c r="U11" s="318"/>
      <c r="V11" s="318"/>
      <c r="W11" s="318"/>
      <c r="X11" s="318"/>
      <c r="Y11" s="167" t="b">
        <f t="shared" si="1"/>
        <v>1</v>
      </c>
      <c r="Z11" s="185">
        <f t="shared" si="2"/>
        <v>0.5</v>
      </c>
      <c r="AA11" s="186" t="b">
        <f t="shared" si="3"/>
        <v>1</v>
      </c>
      <c r="AB11" s="186" t="b">
        <f t="shared" si="4"/>
        <v>1</v>
      </c>
    </row>
    <row r="12" spans="1:28" s="326" customFormat="1" ht="12.75">
      <c r="A12" s="211">
        <v>10</v>
      </c>
      <c r="B12" s="211" t="s">
        <v>597</v>
      </c>
      <c r="C12" s="211" t="s">
        <v>117</v>
      </c>
      <c r="D12" s="210" t="s">
        <v>489</v>
      </c>
      <c r="E12" s="308" t="s">
        <v>490</v>
      </c>
      <c r="F12" s="211" t="s">
        <v>491</v>
      </c>
      <c r="G12" s="224" t="s">
        <v>598</v>
      </c>
      <c r="H12" s="206" t="s">
        <v>42</v>
      </c>
      <c r="I12" s="321">
        <v>0.327</v>
      </c>
      <c r="J12" s="214" t="s">
        <v>150</v>
      </c>
      <c r="K12" s="216">
        <v>4724583</v>
      </c>
      <c r="L12" s="216">
        <v>2362291.5</v>
      </c>
      <c r="M12" s="237">
        <f t="shared" si="0"/>
        <v>2362291.5</v>
      </c>
      <c r="N12" s="217">
        <v>0.5</v>
      </c>
      <c r="O12" s="322"/>
      <c r="P12" s="322"/>
      <c r="Q12" s="318"/>
      <c r="R12" s="318">
        <v>2362291.5</v>
      </c>
      <c r="S12" s="318"/>
      <c r="T12" s="318"/>
      <c r="U12" s="318"/>
      <c r="V12" s="318"/>
      <c r="W12" s="318"/>
      <c r="X12" s="318"/>
      <c r="Y12" s="167" t="b">
        <f t="shared" si="1"/>
        <v>1</v>
      </c>
      <c r="Z12" s="185">
        <f t="shared" si="2"/>
        <v>0.5</v>
      </c>
      <c r="AA12" s="186" t="b">
        <f t="shared" si="3"/>
        <v>1</v>
      </c>
      <c r="AB12" s="186" t="b">
        <f t="shared" si="4"/>
        <v>1</v>
      </c>
    </row>
    <row r="13" spans="1:28" s="326" customFormat="1" ht="12.75">
      <c r="A13" s="211">
        <v>11</v>
      </c>
      <c r="B13" s="211" t="s">
        <v>599</v>
      </c>
      <c r="C13" s="211" t="s">
        <v>117</v>
      </c>
      <c r="D13" s="210" t="s">
        <v>600</v>
      </c>
      <c r="E13" s="308" t="s">
        <v>601</v>
      </c>
      <c r="F13" s="211" t="s">
        <v>424</v>
      </c>
      <c r="G13" s="224" t="s">
        <v>602</v>
      </c>
      <c r="H13" s="206" t="s">
        <v>42</v>
      </c>
      <c r="I13" s="321">
        <v>1.355</v>
      </c>
      <c r="J13" s="214" t="s">
        <v>603</v>
      </c>
      <c r="K13" s="216">
        <v>8273083</v>
      </c>
      <c r="L13" s="216">
        <v>4136541.5</v>
      </c>
      <c r="M13" s="237">
        <f t="shared" si="0"/>
        <v>4136541.5</v>
      </c>
      <c r="N13" s="217">
        <v>0.5</v>
      </c>
      <c r="O13" s="322"/>
      <c r="P13" s="322"/>
      <c r="Q13" s="318"/>
      <c r="R13" s="318">
        <v>4136541.5</v>
      </c>
      <c r="S13" s="318"/>
      <c r="T13" s="318"/>
      <c r="U13" s="318"/>
      <c r="V13" s="318"/>
      <c r="W13" s="318"/>
      <c r="X13" s="318"/>
      <c r="Y13" s="167" t="b">
        <f t="shared" si="1"/>
        <v>1</v>
      </c>
      <c r="Z13" s="185">
        <f t="shared" si="2"/>
        <v>0.5</v>
      </c>
      <c r="AA13" s="186" t="b">
        <f t="shared" si="3"/>
        <v>1</v>
      </c>
      <c r="AB13" s="186" t="b">
        <f t="shared" si="4"/>
        <v>1</v>
      </c>
    </row>
    <row r="14" spans="1:30" s="205" customFormat="1" ht="12.75">
      <c r="A14" s="175">
        <v>12</v>
      </c>
      <c r="B14" s="175" t="s">
        <v>604</v>
      </c>
      <c r="C14" s="175" t="s">
        <v>110</v>
      </c>
      <c r="D14" s="204" t="s">
        <v>605</v>
      </c>
      <c r="E14" s="313" t="s">
        <v>606</v>
      </c>
      <c r="F14" s="301" t="s">
        <v>607</v>
      </c>
      <c r="G14" s="177" t="s">
        <v>608</v>
      </c>
      <c r="H14" s="324" t="s">
        <v>59</v>
      </c>
      <c r="I14" s="198">
        <v>1.563</v>
      </c>
      <c r="J14" s="199" t="s">
        <v>609</v>
      </c>
      <c r="K14" s="179">
        <v>4175641</v>
      </c>
      <c r="L14" s="179">
        <v>2087820.5</v>
      </c>
      <c r="M14" s="180">
        <f t="shared" si="0"/>
        <v>2087820.5</v>
      </c>
      <c r="N14" s="181">
        <v>0.5</v>
      </c>
      <c r="O14" s="315"/>
      <c r="P14" s="315"/>
      <c r="Q14" s="316"/>
      <c r="R14" s="316">
        <v>1043910</v>
      </c>
      <c r="S14" s="316">
        <v>1043910.5</v>
      </c>
      <c r="T14" s="316"/>
      <c r="U14" s="316"/>
      <c r="V14" s="316"/>
      <c r="W14" s="316"/>
      <c r="X14" s="316"/>
      <c r="Y14" s="167" t="b">
        <f t="shared" si="1"/>
        <v>1</v>
      </c>
      <c r="Z14" s="185">
        <f t="shared" si="2"/>
        <v>0.5</v>
      </c>
      <c r="AA14" s="186" t="b">
        <f t="shared" si="3"/>
        <v>1</v>
      </c>
      <c r="AB14" s="186" t="b">
        <f t="shared" si="4"/>
        <v>1</v>
      </c>
      <c r="AD14" s="325"/>
    </row>
    <row r="15" spans="1:30" s="223" customFormat="1" ht="12.75">
      <c r="A15" s="211">
        <v>13</v>
      </c>
      <c r="B15" s="211" t="s">
        <v>610</v>
      </c>
      <c r="C15" s="211" t="s">
        <v>117</v>
      </c>
      <c r="D15" s="210" t="s">
        <v>611</v>
      </c>
      <c r="E15" s="308" t="s">
        <v>612</v>
      </c>
      <c r="F15" s="319" t="s">
        <v>216</v>
      </c>
      <c r="G15" s="224" t="s">
        <v>613</v>
      </c>
      <c r="H15" s="320" t="s">
        <v>42</v>
      </c>
      <c r="I15" s="321">
        <v>0.303</v>
      </c>
      <c r="J15" s="214" t="s">
        <v>468</v>
      </c>
      <c r="K15" s="216">
        <v>663759</v>
      </c>
      <c r="L15" s="216">
        <v>331879.5</v>
      </c>
      <c r="M15" s="237">
        <f t="shared" si="0"/>
        <v>331879.5</v>
      </c>
      <c r="N15" s="217">
        <v>0.5</v>
      </c>
      <c r="O15" s="322"/>
      <c r="P15" s="322"/>
      <c r="Q15" s="318"/>
      <c r="R15" s="318">
        <v>331879.5</v>
      </c>
      <c r="S15" s="318"/>
      <c r="T15" s="318"/>
      <c r="U15" s="318"/>
      <c r="V15" s="318"/>
      <c r="W15" s="318"/>
      <c r="X15" s="318"/>
      <c r="Y15" s="167" t="b">
        <f t="shared" si="1"/>
        <v>1</v>
      </c>
      <c r="Z15" s="185">
        <f t="shared" si="2"/>
        <v>0.5</v>
      </c>
      <c r="AA15" s="186" t="b">
        <f t="shared" si="3"/>
        <v>1</v>
      </c>
      <c r="AB15" s="186" t="b">
        <f t="shared" si="4"/>
        <v>1</v>
      </c>
      <c r="AD15" s="323"/>
    </row>
    <row r="16" spans="1:30" s="223" customFormat="1" ht="12.75">
      <c r="A16" s="211">
        <v>14</v>
      </c>
      <c r="B16" s="211" t="s">
        <v>614</v>
      </c>
      <c r="C16" s="211" t="s">
        <v>117</v>
      </c>
      <c r="D16" s="210" t="s">
        <v>328</v>
      </c>
      <c r="E16" s="308" t="s">
        <v>329</v>
      </c>
      <c r="F16" s="319" t="s">
        <v>216</v>
      </c>
      <c r="G16" s="224" t="s">
        <v>615</v>
      </c>
      <c r="H16" s="320" t="s">
        <v>87</v>
      </c>
      <c r="I16" s="321">
        <v>0.231</v>
      </c>
      <c r="J16" s="214" t="s">
        <v>146</v>
      </c>
      <c r="K16" s="216">
        <v>627537</v>
      </c>
      <c r="L16" s="216">
        <v>313768.5</v>
      </c>
      <c r="M16" s="237">
        <f t="shared" si="0"/>
        <v>313768.5</v>
      </c>
      <c r="N16" s="217">
        <v>0.5</v>
      </c>
      <c r="O16" s="322"/>
      <c r="P16" s="322"/>
      <c r="Q16" s="318"/>
      <c r="R16" s="318">
        <v>313768.5</v>
      </c>
      <c r="S16" s="318"/>
      <c r="T16" s="318"/>
      <c r="U16" s="318"/>
      <c r="V16" s="318"/>
      <c r="W16" s="318"/>
      <c r="X16" s="318"/>
      <c r="Y16" s="167" t="b">
        <f t="shared" si="1"/>
        <v>1</v>
      </c>
      <c r="Z16" s="185">
        <f t="shared" si="2"/>
        <v>0.5</v>
      </c>
      <c r="AA16" s="186" t="b">
        <f t="shared" si="3"/>
        <v>1</v>
      </c>
      <c r="AB16" s="186" t="b">
        <f t="shared" si="4"/>
        <v>1</v>
      </c>
      <c r="AD16" s="323"/>
    </row>
    <row r="17" spans="1:30" s="205" customFormat="1" ht="12.75">
      <c r="A17" s="175">
        <v>15</v>
      </c>
      <c r="B17" s="175" t="s">
        <v>616</v>
      </c>
      <c r="C17" s="175" t="s">
        <v>110</v>
      </c>
      <c r="D17" s="204" t="s">
        <v>617</v>
      </c>
      <c r="E17" s="313" t="s">
        <v>618</v>
      </c>
      <c r="F17" s="301" t="s">
        <v>216</v>
      </c>
      <c r="G17" s="177" t="s">
        <v>619</v>
      </c>
      <c r="H17" s="324" t="s">
        <v>42</v>
      </c>
      <c r="I17" s="198">
        <v>0.597</v>
      </c>
      <c r="J17" s="199" t="s">
        <v>158</v>
      </c>
      <c r="K17" s="179">
        <v>1991972</v>
      </c>
      <c r="L17" s="179">
        <v>995986</v>
      </c>
      <c r="M17" s="180">
        <f t="shared" si="0"/>
        <v>995986</v>
      </c>
      <c r="N17" s="181">
        <v>0.5</v>
      </c>
      <c r="O17" s="315"/>
      <c r="P17" s="315"/>
      <c r="Q17" s="316"/>
      <c r="R17" s="316">
        <v>50000</v>
      </c>
      <c r="S17" s="316">
        <v>945986</v>
      </c>
      <c r="T17" s="316"/>
      <c r="U17" s="316"/>
      <c r="V17" s="316"/>
      <c r="W17" s="316"/>
      <c r="X17" s="316"/>
      <c r="Y17" s="167" t="b">
        <f t="shared" si="1"/>
        <v>1</v>
      </c>
      <c r="Z17" s="185">
        <f t="shared" si="2"/>
        <v>0.5</v>
      </c>
      <c r="AA17" s="186" t="b">
        <f t="shared" si="3"/>
        <v>1</v>
      </c>
      <c r="AB17" s="186" t="b">
        <f t="shared" si="4"/>
        <v>1</v>
      </c>
      <c r="AD17" s="325"/>
    </row>
    <row r="18" spans="1:30" s="223" customFormat="1" ht="12.75">
      <c r="A18" s="211">
        <v>16</v>
      </c>
      <c r="B18" s="211" t="s">
        <v>620</v>
      </c>
      <c r="C18" s="211" t="s">
        <v>117</v>
      </c>
      <c r="D18" s="210" t="s">
        <v>621</v>
      </c>
      <c r="E18" s="308" t="s">
        <v>622</v>
      </c>
      <c r="F18" s="319" t="s">
        <v>186</v>
      </c>
      <c r="G18" s="224" t="s">
        <v>623</v>
      </c>
      <c r="H18" s="320" t="s">
        <v>42</v>
      </c>
      <c r="I18" s="321">
        <v>1.048</v>
      </c>
      <c r="J18" s="214" t="s">
        <v>154</v>
      </c>
      <c r="K18" s="216">
        <v>3334486</v>
      </c>
      <c r="L18" s="216">
        <v>1667243</v>
      </c>
      <c r="M18" s="237">
        <f t="shared" si="0"/>
        <v>1667243</v>
      </c>
      <c r="N18" s="217">
        <v>0.5</v>
      </c>
      <c r="O18" s="322"/>
      <c r="P18" s="322"/>
      <c r="Q18" s="318"/>
      <c r="R18" s="318">
        <v>1667243</v>
      </c>
      <c r="S18" s="318"/>
      <c r="T18" s="318"/>
      <c r="U18" s="318"/>
      <c r="V18" s="318"/>
      <c r="W18" s="318"/>
      <c r="X18" s="318"/>
      <c r="Y18" s="167" t="b">
        <f t="shared" si="1"/>
        <v>1</v>
      </c>
      <c r="Z18" s="185">
        <f t="shared" si="2"/>
        <v>0.5</v>
      </c>
      <c r="AA18" s="186" t="b">
        <f t="shared" si="3"/>
        <v>1</v>
      </c>
      <c r="AB18" s="186" t="b">
        <f t="shared" si="4"/>
        <v>1</v>
      </c>
      <c r="AD18" s="323"/>
    </row>
    <row r="19" spans="1:30" s="223" customFormat="1" ht="12.75">
      <c r="A19" s="211">
        <v>17</v>
      </c>
      <c r="B19" s="211" t="s">
        <v>624</v>
      </c>
      <c r="C19" s="211" t="s">
        <v>117</v>
      </c>
      <c r="D19" s="210" t="s">
        <v>617</v>
      </c>
      <c r="E19" s="308" t="s">
        <v>618</v>
      </c>
      <c r="F19" s="319" t="s">
        <v>216</v>
      </c>
      <c r="G19" s="224" t="s">
        <v>625</v>
      </c>
      <c r="H19" s="320" t="s">
        <v>42</v>
      </c>
      <c r="I19" s="321">
        <v>0.407</v>
      </c>
      <c r="J19" s="214" t="s">
        <v>150</v>
      </c>
      <c r="K19" s="216">
        <v>1322319</v>
      </c>
      <c r="L19" s="216">
        <v>661159.5</v>
      </c>
      <c r="M19" s="237">
        <f t="shared" si="0"/>
        <v>661159.5</v>
      </c>
      <c r="N19" s="217">
        <v>0.5</v>
      </c>
      <c r="O19" s="322"/>
      <c r="P19" s="322"/>
      <c r="Q19" s="318"/>
      <c r="R19" s="318">
        <v>661159.5</v>
      </c>
      <c r="S19" s="318"/>
      <c r="T19" s="318"/>
      <c r="U19" s="318"/>
      <c r="V19" s="318"/>
      <c r="W19" s="318"/>
      <c r="X19" s="318"/>
      <c r="Y19" s="167" t="b">
        <f t="shared" si="1"/>
        <v>1</v>
      </c>
      <c r="Z19" s="185">
        <f t="shared" si="2"/>
        <v>0.5</v>
      </c>
      <c r="AA19" s="186" t="b">
        <f t="shared" si="3"/>
        <v>1</v>
      </c>
      <c r="AB19" s="186" t="b">
        <f t="shared" si="4"/>
        <v>1</v>
      </c>
      <c r="AD19" s="323"/>
    </row>
    <row r="20" spans="1:30" s="205" customFormat="1" ht="12.75">
      <c r="A20" s="175">
        <v>18</v>
      </c>
      <c r="B20" s="175" t="s">
        <v>626</v>
      </c>
      <c r="C20" s="175" t="s">
        <v>110</v>
      </c>
      <c r="D20" s="204" t="s">
        <v>627</v>
      </c>
      <c r="E20" s="313" t="s">
        <v>628</v>
      </c>
      <c r="F20" s="301" t="s">
        <v>240</v>
      </c>
      <c r="G20" s="177" t="s">
        <v>629</v>
      </c>
      <c r="H20" s="324" t="s">
        <v>42</v>
      </c>
      <c r="I20" s="198">
        <v>1.79</v>
      </c>
      <c r="J20" s="199" t="s">
        <v>360</v>
      </c>
      <c r="K20" s="179">
        <v>6308657</v>
      </c>
      <c r="L20" s="179">
        <v>3154328.5</v>
      </c>
      <c r="M20" s="180">
        <f t="shared" si="0"/>
        <v>3154328.5</v>
      </c>
      <c r="N20" s="181">
        <v>0.5</v>
      </c>
      <c r="O20" s="315"/>
      <c r="P20" s="315"/>
      <c r="Q20" s="316"/>
      <c r="R20" s="316">
        <v>1421768</v>
      </c>
      <c r="S20" s="316">
        <v>1732560.5</v>
      </c>
      <c r="T20" s="316"/>
      <c r="U20" s="316"/>
      <c r="V20" s="316"/>
      <c r="W20" s="316"/>
      <c r="X20" s="316"/>
      <c r="Y20" s="167" t="b">
        <f t="shared" si="1"/>
        <v>1</v>
      </c>
      <c r="Z20" s="185">
        <f t="shared" si="2"/>
        <v>0.5</v>
      </c>
      <c r="AA20" s="186" t="b">
        <f t="shared" si="3"/>
        <v>1</v>
      </c>
      <c r="AB20" s="186" t="b">
        <f t="shared" si="4"/>
        <v>1</v>
      </c>
      <c r="AD20" s="325"/>
    </row>
    <row r="21" spans="1:28" s="326" customFormat="1" ht="12.75">
      <c r="A21" s="211">
        <v>19</v>
      </c>
      <c r="B21" s="211" t="s">
        <v>630</v>
      </c>
      <c r="C21" s="211" t="s">
        <v>117</v>
      </c>
      <c r="D21" s="210" t="s">
        <v>631</v>
      </c>
      <c r="E21" s="308" t="s">
        <v>296</v>
      </c>
      <c r="F21" s="211" t="s">
        <v>228</v>
      </c>
      <c r="G21" s="224" t="s">
        <v>632</v>
      </c>
      <c r="H21" s="206" t="s">
        <v>42</v>
      </c>
      <c r="I21" s="321">
        <v>1.465</v>
      </c>
      <c r="J21" s="214" t="s">
        <v>124</v>
      </c>
      <c r="K21" s="216">
        <v>3000000</v>
      </c>
      <c r="L21" s="216">
        <v>1500000</v>
      </c>
      <c r="M21" s="237">
        <f t="shared" si="0"/>
        <v>1500000</v>
      </c>
      <c r="N21" s="217">
        <v>0.5</v>
      </c>
      <c r="O21" s="322"/>
      <c r="P21" s="322"/>
      <c r="Q21" s="318"/>
      <c r="R21" s="318">
        <v>1500000</v>
      </c>
      <c r="S21" s="318"/>
      <c r="T21" s="318"/>
      <c r="U21" s="318"/>
      <c r="V21" s="318"/>
      <c r="W21" s="318"/>
      <c r="X21" s="318"/>
      <c r="Y21" s="167" t="b">
        <f t="shared" si="1"/>
        <v>1</v>
      </c>
      <c r="Z21" s="185">
        <f t="shared" si="2"/>
        <v>0.5</v>
      </c>
      <c r="AA21" s="186" t="b">
        <f t="shared" si="3"/>
        <v>1</v>
      </c>
      <c r="AB21" s="186" t="b">
        <f t="shared" si="4"/>
        <v>1</v>
      </c>
    </row>
    <row r="22" spans="1:28" s="327" customFormat="1" ht="12.75">
      <c r="A22" s="175">
        <v>20</v>
      </c>
      <c r="B22" s="175" t="s">
        <v>633</v>
      </c>
      <c r="C22" s="175" t="s">
        <v>110</v>
      </c>
      <c r="D22" s="204" t="s">
        <v>164</v>
      </c>
      <c r="E22" s="313" t="s">
        <v>634</v>
      </c>
      <c r="F22" s="175" t="s">
        <v>635</v>
      </c>
      <c r="G22" s="177" t="s">
        <v>636</v>
      </c>
      <c r="H22" s="174" t="s">
        <v>42</v>
      </c>
      <c r="I22" s="198">
        <v>0.75</v>
      </c>
      <c r="J22" s="199" t="s">
        <v>637</v>
      </c>
      <c r="K22" s="179">
        <v>7414440</v>
      </c>
      <c r="L22" s="179">
        <v>3707220</v>
      </c>
      <c r="M22" s="180">
        <f t="shared" si="0"/>
        <v>3707220</v>
      </c>
      <c r="N22" s="181">
        <v>0.5</v>
      </c>
      <c r="O22" s="315"/>
      <c r="P22" s="315"/>
      <c r="Q22" s="316"/>
      <c r="R22" s="316">
        <v>1235740</v>
      </c>
      <c r="S22" s="316">
        <v>2471480</v>
      </c>
      <c r="T22" s="316"/>
      <c r="U22" s="316"/>
      <c r="V22" s="316"/>
      <c r="W22" s="316"/>
      <c r="X22" s="316"/>
      <c r="Y22" s="167" t="b">
        <f t="shared" si="1"/>
        <v>1</v>
      </c>
      <c r="Z22" s="185">
        <f t="shared" si="2"/>
        <v>0.5</v>
      </c>
      <c r="AA22" s="186" t="b">
        <f t="shared" si="3"/>
        <v>1</v>
      </c>
      <c r="AB22" s="186" t="b">
        <f t="shared" si="4"/>
        <v>1</v>
      </c>
    </row>
    <row r="23" spans="1:28" s="326" customFormat="1" ht="12.75">
      <c r="A23" s="211">
        <v>21</v>
      </c>
      <c r="B23" s="211" t="s">
        <v>638</v>
      </c>
      <c r="C23" s="211" t="s">
        <v>117</v>
      </c>
      <c r="D23" s="210" t="s">
        <v>639</v>
      </c>
      <c r="E23" s="308" t="s">
        <v>640</v>
      </c>
      <c r="F23" s="211" t="s">
        <v>607</v>
      </c>
      <c r="G23" s="224" t="s">
        <v>641</v>
      </c>
      <c r="H23" s="206" t="s">
        <v>42</v>
      </c>
      <c r="I23" s="321">
        <v>0.536</v>
      </c>
      <c r="J23" s="214" t="s">
        <v>509</v>
      </c>
      <c r="K23" s="216">
        <v>2331009</v>
      </c>
      <c r="L23" s="216">
        <v>1165504.5</v>
      </c>
      <c r="M23" s="237">
        <f t="shared" si="0"/>
        <v>1165504.5</v>
      </c>
      <c r="N23" s="217">
        <v>0.5</v>
      </c>
      <c r="O23" s="322"/>
      <c r="P23" s="322"/>
      <c r="Q23" s="318"/>
      <c r="R23" s="318">
        <v>1165504.5</v>
      </c>
      <c r="S23" s="318"/>
      <c r="T23" s="318"/>
      <c r="U23" s="318"/>
      <c r="V23" s="318"/>
      <c r="W23" s="318"/>
      <c r="X23" s="318"/>
      <c r="Y23" s="167" t="b">
        <f t="shared" si="1"/>
        <v>1</v>
      </c>
      <c r="Z23" s="185">
        <f t="shared" si="2"/>
        <v>0.5</v>
      </c>
      <c r="AA23" s="186" t="b">
        <f t="shared" si="3"/>
        <v>1</v>
      </c>
      <c r="AB23" s="186" t="b">
        <f t="shared" si="4"/>
        <v>1</v>
      </c>
    </row>
    <row r="24" spans="1:28" s="327" customFormat="1" ht="12.75">
      <c r="A24" s="175">
        <v>22</v>
      </c>
      <c r="B24" s="175" t="s">
        <v>642</v>
      </c>
      <c r="C24" s="175" t="s">
        <v>110</v>
      </c>
      <c r="D24" s="204" t="s">
        <v>290</v>
      </c>
      <c r="E24" s="313" t="s">
        <v>291</v>
      </c>
      <c r="F24" s="175" t="s">
        <v>292</v>
      </c>
      <c r="G24" s="177" t="s">
        <v>643</v>
      </c>
      <c r="H24" s="174" t="s">
        <v>59</v>
      </c>
      <c r="I24" s="198">
        <v>1.245</v>
      </c>
      <c r="J24" s="199" t="s">
        <v>644</v>
      </c>
      <c r="K24" s="179">
        <v>11400000</v>
      </c>
      <c r="L24" s="179">
        <v>5700000</v>
      </c>
      <c r="M24" s="180">
        <f t="shared" si="0"/>
        <v>5700000</v>
      </c>
      <c r="N24" s="181">
        <v>0.5</v>
      </c>
      <c r="O24" s="315"/>
      <c r="P24" s="315"/>
      <c r="Q24" s="316"/>
      <c r="R24" s="316">
        <v>2000000</v>
      </c>
      <c r="S24" s="316">
        <v>3700000</v>
      </c>
      <c r="T24" s="316"/>
      <c r="U24" s="316"/>
      <c r="V24" s="316"/>
      <c r="W24" s="316"/>
      <c r="X24" s="316"/>
      <c r="Y24" s="167" t="b">
        <f t="shared" si="1"/>
        <v>1</v>
      </c>
      <c r="Z24" s="185">
        <f t="shared" si="2"/>
        <v>0.5</v>
      </c>
      <c r="AA24" s="186" t="b">
        <f t="shared" si="3"/>
        <v>1</v>
      </c>
      <c r="AB24" s="186" t="b">
        <f t="shared" si="4"/>
        <v>1</v>
      </c>
    </row>
    <row r="25" spans="1:28" s="326" customFormat="1" ht="39" customHeight="1">
      <c r="A25" s="211">
        <v>23</v>
      </c>
      <c r="B25" s="211" t="s">
        <v>645</v>
      </c>
      <c r="C25" s="211" t="s">
        <v>117</v>
      </c>
      <c r="D25" s="210" t="s">
        <v>646</v>
      </c>
      <c r="E25" s="375" t="s">
        <v>647</v>
      </c>
      <c r="F25" s="206" t="s">
        <v>216</v>
      </c>
      <c r="G25" s="224" t="s">
        <v>648</v>
      </c>
      <c r="H25" s="206" t="s">
        <v>42</v>
      </c>
      <c r="I25" s="321">
        <v>1.121</v>
      </c>
      <c r="J25" s="214" t="s">
        <v>347</v>
      </c>
      <c r="K25" s="216">
        <v>5170253</v>
      </c>
      <c r="L25" s="216">
        <v>2585126.5</v>
      </c>
      <c r="M25" s="237">
        <f t="shared" si="0"/>
        <v>2585126.5</v>
      </c>
      <c r="N25" s="217">
        <v>0.5</v>
      </c>
      <c r="O25" s="322"/>
      <c r="P25" s="322"/>
      <c r="Q25" s="318"/>
      <c r="R25" s="318">
        <v>2585126.5</v>
      </c>
      <c r="S25" s="305"/>
      <c r="T25" s="305"/>
      <c r="U25" s="305"/>
      <c r="V25" s="305"/>
      <c r="W25" s="305"/>
      <c r="X25" s="305"/>
      <c r="Y25" s="167" t="b">
        <f t="shared" si="1"/>
        <v>1</v>
      </c>
      <c r="Z25" s="185">
        <f t="shared" si="2"/>
        <v>0.5</v>
      </c>
      <c r="AA25" s="186" t="b">
        <f t="shared" si="3"/>
        <v>1</v>
      </c>
      <c r="AB25" s="186" t="b">
        <f t="shared" si="4"/>
        <v>1</v>
      </c>
    </row>
    <row r="26" spans="1:28" s="326" customFormat="1" ht="35.25" customHeight="1">
      <c r="A26" s="211">
        <v>24</v>
      </c>
      <c r="B26" s="211" t="s">
        <v>649</v>
      </c>
      <c r="C26" s="211" t="s">
        <v>117</v>
      </c>
      <c r="D26" s="210" t="s">
        <v>650</v>
      </c>
      <c r="E26" s="308" t="s">
        <v>651</v>
      </c>
      <c r="F26" s="211" t="s">
        <v>607</v>
      </c>
      <c r="G26" s="224" t="s">
        <v>652</v>
      </c>
      <c r="H26" s="206" t="s">
        <v>59</v>
      </c>
      <c r="I26" s="321">
        <v>0.362</v>
      </c>
      <c r="J26" s="214" t="s">
        <v>383</v>
      </c>
      <c r="K26" s="216">
        <v>2423917</v>
      </c>
      <c r="L26" s="216">
        <v>1211958.5</v>
      </c>
      <c r="M26" s="237">
        <f t="shared" si="0"/>
        <v>1211958.5</v>
      </c>
      <c r="N26" s="217">
        <v>0.5</v>
      </c>
      <c r="O26" s="322"/>
      <c r="P26" s="322"/>
      <c r="Q26" s="318"/>
      <c r="R26" s="318">
        <v>1211958.5</v>
      </c>
      <c r="S26" s="318"/>
      <c r="T26" s="318"/>
      <c r="U26" s="318"/>
      <c r="V26" s="318"/>
      <c r="W26" s="318"/>
      <c r="X26" s="318"/>
      <c r="Y26" s="167" t="b">
        <f t="shared" si="1"/>
        <v>1</v>
      </c>
      <c r="Z26" s="185">
        <f t="shared" si="2"/>
        <v>0.5</v>
      </c>
      <c r="AA26" s="186" t="b">
        <f t="shared" si="3"/>
        <v>1</v>
      </c>
      <c r="AB26" s="186" t="b">
        <f t="shared" si="4"/>
        <v>1</v>
      </c>
    </row>
    <row r="27" spans="1:28" s="327" customFormat="1" ht="12.75">
      <c r="A27" s="175">
        <v>25</v>
      </c>
      <c r="B27" s="175" t="s">
        <v>653</v>
      </c>
      <c r="C27" s="175" t="s">
        <v>110</v>
      </c>
      <c r="D27" s="204" t="s">
        <v>214</v>
      </c>
      <c r="E27" s="313" t="s">
        <v>215</v>
      </c>
      <c r="F27" s="175" t="s">
        <v>216</v>
      </c>
      <c r="G27" s="177" t="s">
        <v>654</v>
      </c>
      <c r="H27" s="174" t="s">
        <v>42</v>
      </c>
      <c r="I27" s="198">
        <v>0.77</v>
      </c>
      <c r="J27" s="199" t="s">
        <v>655</v>
      </c>
      <c r="K27" s="179">
        <v>5886084</v>
      </c>
      <c r="L27" s="179">
        <v>2943042</v>
      </c>
      <c r="M27" s="180">
        <f t="shared" si="0"/>
        <v>2943042</v>
      </c>
      <c r="N27" s="181">
        <v>0.5</v>
      </c>
      <c r="O27" s="315"/>
      <c r="P27" s="315"/>
      <c r="Q27" s="316"/>
      <c r="R27" s="316">
        <v>500000</v>
      </c>
      <c r="S27" s="316">
        <v>1250000</v>
      </c>
      <c r="T27" s="316">
        <v>1193042</v>
      </c>
      <c r="U27" s="316"/>
      <c r="V27" s="316"/>
      <c r="W27" s="316"/>
      <c r="X27" s="316"/>
      <c r="Y27" s="167" t="b">
        <f t="shared" si="1"/>
        <v>1</v>
      </c>
      <c r="Z27" s="185">
        <f t="shared" si="2"/>
        <v>0.5</v>
      </c>
      <c r="AA27" s="186" t="b">
        <f t="shared" si="3"/>
        <v>1</v>
      </c>
      <c r="AB27" s="186" t="b">
        <f t="shared" si="4"/>
        <v>1</v>
      </c>
    </row>
    <row r="28" spans="1:28" s="326" customFormat="1" ht="12.75">
      <c r="A28" s="211">
        <v>26</v>
      </c>
      <c r="B28" s="211" t="s">
        <v>656</v>
      </c>
      <c r="C28" s="211" t="s">
        <v>117</v>
      </c>
      <c r="D28" s="210" t="s">
        <v>646</v>
      </c>
      <c r="E28" s="308" t="s">
        <v>647</v>
      </c>
      <c r="F28" s="211" t="s">
        <v>216</v>
      </c>
      <c r="G28" s="224" t="s">
        <v>657</v>
      </c>
      <c r="H28" s="206" t="s">
        <v>42</v>
      </c>
      <c r="I28" s="321">
        <v>0.378</v>
      </c>
      <c r="J28" s="214" t="s">
        <v>374</v>
      </c>
      <c r="K28" s="216">
        <v>887490</v>
      </c>
      <c r="L28" s="216">
        <v>443745</v>
      </c>
      <c r="M28" s="237">
        <f t="shared" si="0"/>
        <v>443745</v>
      </c>
      <c r="N28" s="217">
        <v>0.5</v>
      </c>
      <c r="O28" s="322"/>
      <c r="P28" s="322"/>
      <c r="Q28" s="318"/>
      <c r="R28" s="318">
        <v>443745</v>
      </c>
      <c r="S28" s="318"/>
      <c r="T28" s="318"/>
      <c r="U28" s="318"/>
      <c r="V28" s="318"/>
      <c r="W28" s="318"/>
      <c r="X28" s="318"/>
      <c r="Y28" s="167" t="b">
        <f t="shared" si="1"/>
        <v>1</v>
      </c>
      <c r="Z28" s="185">
        <f t="shared" si="2"/>
        <v>0.5</v>
      </c>
      <c r="AA28" s="186" t="b">
        <f t="shared" si="3"/>
        <v>1</v>
      </c>
      <c r="AB28" s="186" t="b">
        <f t="shared" si="4"/>
        <v>1</v>
      </c>
    </row>
    <row r="29" spans="1:28" s="327" customFormat="1" ht="12.75">
      <c r="A29" s="175">
        <v>27</v>
      </c>
      <c r="B29" s="175" t="s">
        <v>658</v>
      </c>
      <c r="C29" s="175" t="s">
        <v>110</v>
      </c>
      <c r="D29" s="204" t="s">
        <v>605</v>
      </c>
      <c r="E29" s="178" t="s">
        <v>606</v>
      </c>
      <c r="F29" s="174" t="s">
        <v>607</v>
      </c>
      <c r="G29" s="177" t="s">
        <v>659</v>
      </c>
      <c r="H29" s="174" t="s">
        <v>59</v>
      </c>
      <c r="I29" s="198">
        <v>1.135</v>
      </c>
      <c r="J29" s="199" t="s">
        <v>609</v>
      </c>
      <c r="K29" s="179">
        <v>3641541</v>
      </c>
      <c r="L29" s="179">
        <v>1820770.5</v>
      </c>
      <c r="M29" s="180">
        <f t="shared" si="0"/>
        <v>1820770.5</v>
      </c>
      <c r="N29" s="181">
        <v>0.5</v>
      </c>
      <c r="O29" s="315"/>
      <c r="P29" s="315"/>
      <c r="Q29" s="370"/>
      <c r="R29" s="370">
        <v>910385</v>
      </c>
      <c r="S29" s="296">
        <v>910385.5</v>
      </c>
      <c r="T29" s="296"/>
      <c r="U29" s="296"/>
      <c r="V29" s="296"/>
      <c r="W29" s="296"/>
      <c r="X29" s="296"/>
      <c r="Y29" s="167" t="b">
        <f t="shared" si="1"/>
        <v>1</v>
      </c>
      <c r="Z29" s="185">
        <f t="shared" si="2"/>
        <v>0.5</v>
      </c>
      <c r="AA29" s="186" t="b">
        <f t="shared" si="3"/>
        <v>1</v>
      </c>
      <c r="AB29" s="186" t="b">
        <f t="shared" si="4"/>
        <v>1</v>
      </c>
    </row>
    <row r="30" spans="1:35" s="395" customFormat="1" ht="12.75">
      <c r="A30" s="211">
        <v>28</v>
      </c>
      <c r="B30" s="211" t="s">
        <v>660</v>
      </c>
      <c r="C30" s="211" t="s">
        <v>117</v>
      </c>
      <c r="D30" s="210" t="s">
        <v>185</v>
      </c>
      <c r="E30" s="375" t="s">
        <v>272</v>
      </c>
      <c r="F30" s="206" t="s">
        <v>186</v>
      </c>
      <c r="G30" s="224" t="s">
        <v>661</v>
      </c>
      <c r="H30" s="206" t="s">
        <v>42</v>
      </c>
      <c r="I30" s="321">
        <v>0.483</v>
      </c>
      <c r="J30" s="214" t="s">
        <v>146</v>
      </c>
      <c r="K30" s="216">
        <v>492015</v>
      </c>
      <c r="L30" s="216">
        <v>246007.5</v>
      </c>
      <c r="M30" s="237">
        <f t="shared" si="0"/>
        <v>246007.5</v>
      </c>
      <c r="N30" s="217">
        <v>0.5</v>
      </c>
      <c r="O30" s="322"/>
      <c r="P30" s="322"/>
      <c r="Q30" s="318"/>
      <c r="R30" s="318">
        <v>246007.5</v>
      </c>
      <c r="S30" s="318"/>
      <c r="T30" s="318"/>
      <c r="U30" s="318"/>
      <c r="V30" s="318"/>
      <c r="W30" s="318"/>
      <c r="X30" s="318"/>
      <c r="Y30" s="167" t="b">
        <f t="shared" si="1"/>
        <v>1</v>
      </c>
      <c r="Z30" s="185">
        <f t="shared" si="2"/>
        <v>0.5</v>
      </c>
      <c r="AA30" s="186" t="b">
        <f t="shared" si="3"/>
        <v>1</v>
      </c>
      <c r="AB30" s="186" t="b">
        <f t="shared" si="4"/>
        <v>1</v>
      </c>
      <c r="AC30" s="392"/>
      <c r="AD30" s="392"/>
      <c r="AE30" s="393"/>
      <c r="AF30" s="392"/>
      <c r="AG30" s="394"/>
      <c r="AH30" s="394"/>
      <c r="AI30" s="394"/>
    </row>
    <row r="31" spans="1:35" s="395" customFormat="1" ht="12.75">
      <c r="A31" s="211">
        <v>29</v>
      </c>
      <c r="B31" s="211" t="s">
        <v>662</v>
      </c>
      <c r="C31" s="211" t="s">
        <v>117</v>
      </c>
      <c r="D31" s="210" t="s">
        <v>414</v>
      </c>
      <c r="E31" s="375" t="s">
        <v>415</v>
      </c>
      <c r="F31" s="206" t="s">
        <v>186</v>
      </c>
      <c r="G31" s="224" t="s">
        <v>663</v>
      </c>
      <c r="H31" s="206" t="s">
        <v>59</v>
      </c>
      <c r="I31" s="321">
        <v>0.183</v>
      </c>
      <c r="J31" s="214" t="s">
        <v>388</v>
      </c>
      <c r="K31" s="216">
        <v>421820</v>
      </c>
      <c r="L31" s="216">
        <v>210910</v>
      </c>
      <c r="M31" s="237">
        <f t="shared" si="0"/>
        <v>210910</v>
      </c>
      <c r="N31" s="217">
        <v>0.5</v>
      </c>
      <c r="O31" s="322"/>
      <c r="P31" s="322"/>
      <c r="Q31" s="318"/>
      <c r="R31" s="318">
        <v>210910</v>
      </c>
      <c r="S31" s="318"/>
      <c r="T31" s="318"/>
      <c r="U31" s="318"/>
      <c r="V31" s="318"/>
      <c r="W31" s="318"/>
      <c r="X31" s="318"/>
      <c r="Y31" s="167" t="b">
        <f t="shared" si="1"/>
        <v>1</v>
      </c>
      <c r="Z31" s="185">
        <f t="shared" si="2"/>
        <v>0.5</v>
      </c>
      <c r="AA31" s="186" t="b">
        <f t="shared" si="3"/>
        <v>1</v>
      </c>
      <c r="AB31" s="186" t="b">
        <f t="shared" si="4"/>
        <v>1</v>
      </c>
      <c r="AC31" s="392"/>
      <c r="AD31" s="392"/>
      <c r="AE31" s="393"/>
      <c r="AF31" s="392"/>
      <c r="AG31" s="394"/>
      <c r="AH31" s="394"/>
      <c r="AI31" s="394"/>
    </row>
    <row r="32" spans="1:28" s="326" customFormat="1" ht="12.75">
      <c r="A32" s="211">
        <v>30</v>
      </c>
      <c r="B32" s="211" t="s">
        <v>664</v>
      </c>
      <c r="C32" s="211" t="s">
        <v>117</v>
      </c>
      <c r="D32" s="210" t="s">
        <v>665</v>
      </c>
      <c r="E32" s="375" t="s">
        <v>666</v>
      </c>
      <c r="F32" s="206" t="s">
        <v>186</v>
      </c>
      <c r="G32" s="224" t="s">
        <v>667</v>
      </c>
      <c r="H32" s="206" t="s">
        <v>87</v>
      </c>
      <c r="I32" s="321">
        <v>0.995</v>
      </c>
      <c r="J32" s="214" t="s">
        <v>369</v>
      </c>
      <c r="K32" s="216">
        <v>1276218</v>
      </c>
      <c r="L32" s="216">
        <v>701919.9</v>
      </c>
      <c r="M32" s="237">
        <f t="shared" si="0"/>
        <v>574298.1</v>
      </c>
      <c r="N32" s="217">
        <v>0.55</v>
      </c>
      <c r="O32" s="322"/>
      <c r="P32" s="318"/>
      <c r="Q32" s="318"/>
      <c r="R32" s="318">
        <v>701919.9</v>
      </c>
      <c r="S32" s="305"/>
      <c r="T32" s="305"/>
      <c r="U32" s="305"/>
      <c r="V32" s="305"/>
      <c r="W32" s="305"/>
      <c r="X32" s="305"/>
      <c r="Y32" s="167" t="b">
        <f t="shared" si="1"/>
        <v>1</v>
      </c>
      <c r="Z32" s="185">
        <f t="shared" si="2"/>
        <v>0.55</v>
      </c>
      <c r="AA32" s="186" t="b">
        <f t="shared" si="3"/>
        <v>1</v>
      </c>
      <c r="AB32" s="186" t="b">
        <f t="shared" si="4"/>
        <v>1</v>
      </c>
    </row>
    <row r="33" spans="1:28" s="326" customFormat="1" ht="12.75">
      <c r="A33" s="211">
        <v>31</v>
      </c>
      <c r="B33" s="211" t="s">
        <v>668</v>
      </c>
      <c r="C33" s="211" t="s">
        <v>117</v>
      </c>
      <c r="D33" s="210" t="s">
        <v>587</v>
      </c>
      <c r="E33" s="308" t="s">
        <v>588</v>
      </c>
      <c r="F33" s="211" t="s">
        <v>283</v>
      </c>
      <c r="G33" s="224" t="s">
        <v>669</v>
      </c>
      <c r="H33" s="206" t="s">
        <v>59</v>
      </c>
      <c r="I33" s="321">
        <v>0.353</v>
      </c>
      <c r="J33" s="214" t="s">
        <v>154</v>
      </c>
      <c r="K33" s="216">
        <v>1382250</v>
      </c>
      <c r="L33" s="216">
        <v>691125</v>
      </c>
      <c r="M33" s="237">
        <f t="shared" si="0"/>
        <v>691125</v>
      </c>
      <c r="N33" s="217">
        <v>0.5</v>
      </c>
      <c r="O33" s="322"/>
      <c r="P33" s="322"/>
      <c r="Q33" s="318"/>
      <c r="R33" s="318">
        <v>691125</v>
      </c>
      <c r="S33" s="318"/>
      <c r="T33" s="318"/>
      <c r="U33" s="318"/>
      <c r="V33" s="318"/>
      <c r="W33" s="318"/>
      <c r="X33" s="318"/>
      <c r="Y33" s="167" t="b">
        <f t="shared" si="1"/>
        <v>1</v>
      </c>
      <c r="Z33" s="185">
        <f t="shared" si="2"/>
        <v>0.5</v>
      </c>
      <c r="AA33" s="186" t="b">
        <f t="shared" si="3"/>
        <v>1</v>
      </c>
      <c r="AB33" s="186" t="b">
        <f t="shared" si="4"/>
        <v>1</v>
      </c>
    </row>
    <row r="34" spans="1:28" s="326" customFormat="1" ht="12.75">
      <c r="A34" s="211">
        <v>32</v>
      </c>
      <c r="B34" s="211" t="s">
        <v>670</v>
      </c>
      <c r="C34" s="211" t="s">
        <v>117</v>
      </c>
      <c r="D34" s="210" t="s">
        <v>185</v>
      </c>
      <c r="E34" s="308" t="s">
        <v>272</v>
      </c>
      <c r="F34" s="211" t="s">
        <v>186</v>
      </c>
      <c r="G34" s="224" t="s">
        <v>671</v>
      </c>
      <c r="H34" s="206" t="s">
        <v>42</v>
      </c>
      <c r="I34" s="321">
        <v>0.462</v>
      </c>
      <c r="J34" s="214" t="s">
        <v>146</v>
      </c>
      <c r="K34" s="216">
        <v>598038</v>
      </c>
      <c r="L34" s="216">
        <v>299019</v>
      </c>
      <c r="M34" s="237">
        <f t="shared" si="0"/>
        <v>299019</v>
      </c>
      <c r="N34" s="217">
        <v>0.5</v>
      </c>
      <c r="O34" s="322"/>
      <c r="P34" s="322"/>
      <c r="Q34" s="318"/>
      <c r="R34" s="318">
        <v>299019</v>
      </c>
      <c r="S34" s="318"/>
      <c r="T34" s="318"/>
      <c r="U34" s="318"/>
      <c r="V34" s="318"/>
      <c r="W34" s="318"/>
      <c r="X34" s="318"/>
      <c r="Y34" s="167" t="b">
        <f t="shared" si="1"/>
        <v>1</v>
      </c>
      <c r="Z34" s="185">
        <f t="shared" si="2"/>
        <v>0.5</v>
      </c>
      <c r="AA34" s="186" t="b">
        <f t="shared" si="3"/>
        <v>1</v>
      </c>
      <c r="AB34" s="186" t="b">
        <f t="shared" si="4"/>
        <v>1</v>
      </c>
    </row>
    <row r="35" spans="1:28" s="326" customFormat="1" ht="12.75">
      <c r="A35" s="211">
        <v>33</v>
      </c>
      <c r="B35" s="211" t="s">
        <v>672</v>
      </c>
      <c r="C35" s="211" t="s">
        <v>117</v>
      </c>
      <c r="D35" s="210" t="s">
        <v>673</v>
      </c>
      <c r="E35" s="308" t="s">
        <v>674</v>
      </c>
      <c r="F35" s="211" t="s">
        <v>283</v>
      </c>
      <c r="G35" s="224" t="s">
        <v>675</v>
      </c>
      <c r="H35" s="206" t="s">
        <v>59</v>
      </c>
      <c r="I35" s="321">
        <v>1.18</v>
      </c>
      <c r="J35" s="214" t="s">
        <v>146</v>
      </c>
      <c r="K35" s="216">
        <v>3991620</v>
      </c>
      <c r="L35" s="216">
        <v>1995810</v>
      </c>
      <c r="M35" s="237">
        <f aca="true" t="shared" si="5" ref="M35:M65">K35-L35</f>
        <v>1995810</v>
      </c>
      <c r="N35" s="217">
        <v>0.5</v>
      </c>
      <c r="O35" s="322"/>
      <c r="P35" s="322"/>
      <c r="Q35" s="318"/>
      <c r="R35" s="318">
        <v>1995810</v>
      </c>
      <c r="S35" s="318"/>
      <c r="T35" s="318"/>
      <c r="U35" s="318"/>
      <c r="V35" s="318"/>
      <c r="W35" s="318"/>
      <c r="X35" s="318"/>
      <c r="Y35" s="167" t="b">
        <f aca="true" t="shared" si="6" ref="Y35:Y66">L35=SUM(O35:X35)</f>
        <v>1</v>
      </c>
      <c r="Z35" s="185">
        <f aca="true" t="shared" si="7" ref="Z35:Z68">ROUND(L35/K35,4)</f>
        <v>0.5</v>
      </c>
      <c r="AA35" s="186" t="b">
        <f aca="true" t="shared" si="8" ref="AA35:AA65">Z35=N35</f>
        <v>1</v>
      </c>
      <c r="AB35" s="186" t="b">
        <f aca="true" t="shared" si="9" ref="AB35:AB68">K35=L35+M35</f>
        <v>1</v>
      </c>
    </row>
    <row r="36" spans="1:28" s="326" customFormat="1" ht="12.75">
      <c r="A36" s="211">
        <v>34</v>
      </c>
      <c r="B36" s="211" t="s">
        <v>676</v>
      </c>
      <c r="C36" s="211" t="s">
        <v>117</v>
      </c>
      <c r="D36" s="396" t="s">
        <v>677</v>
      </c>
      <c r="E36" s="308" t="s">
        <v>678</v>
      </c>
      <c r="F36" s="211" t="s">
        <v>222</v>
      </c>
      <c r="G36" s="224" t="s">
        <v>679</v>
      </c>
      <c r="H36" s="206" t="s">
        <v>42</v>
      </c>
      <c r="I36" s="321">
        <v>0.73</v>
      </c>
      <c r="J36" s="214" t="s">
        <v>680</v>
      </c>
      <c r="K36" s="216">
        <v>2280750</v>
      </c>
      <c r="L36" s="216">
        <v>1140375</v>
      </c>
      <c r="M36" s="237">
        <f t="shared" si="5"/>
        <v>1140375</v>
      </c>
      <c r="N36" s="217">
        <v>0.5</v>
      </c>
      <c r="O36" s="322"/>
      <c r="P36" s="322"/>
      <c r="Q36" s="318"/>
      <c r="R36" s="318">
        <v>1140375</v>
      </c>
      <c r="S36" s="318"/>
      <c r="T36" s="318"/>
      <c r="U36" s="318"/>
      <c r="V36" s="318"/>
      <c r="W36" s="318"/>
      <c r="X36" s="318"/>
      <c r="Y36" s="167" t="b">
        <f t="shared" si="6"/>
        <v>1</v>
      </c>
      <c r="Z36" s="185">
        <f t="shared" si="7"/>
        <v>0.5</v>
      </c>
      <c r="AA36" s="186" t="b">
        <f t="shared" si="8"/>
        <v>1</v>
      </c>
      <c r="AB36" s="186" t="b">
        <f t="shared" si="9"/>
        <v>1</v>
      </c>
    </row>
    <row r="37" spans="1:28" s="327" customFormat="1" ht="12.75">
      <c r="A37" s="175">
        <v>35</v>
      </c>
      <c r="B37" s="175" t="s">
        <v>681</v>
      </c>
      <c r="C37" s="175" t="s">
        <v>110</v>
      </c>
      <c r="D37" s="204" t="s">
        <v>81</v>
      </c>
      <c r="E37" s="313" t="s">
        <v>682</v>
      </c>
      <c r="F37" s="175" t="s">
        <v>683</v>
      </c>
      <c r="G37" s="177" t="s">
        <v>684</v>
      </c>
      <c r="H37" s="174" t="s">
        <v>42</v>
      </c>
      <c r="I37" s="198">
        <v>0.713</v>
      </c>
      <c r="J37" s="199" t="s">
        <v>360</v>
      </c>
      <c r="K37" s="179">
        <v>5375020</v>
      </c>
      <c r="L37" s="179">
        <v>2687510</v>
      </c>
      <c r="M37" s="180">
        <f t="shared" si="5"/>
        <v>2687510</v>
      </c>
      <c r="N37" s="181">
        <v>0.5</v>
      </c>
      <c r="O37" s="315"/>
      <c r="P37" s="315"/>
      <c r="Q37" s="316"/>
      <c r="R37" s="316">
        <v>1232635.5</v>
      </c>
      <c r="S37" s="316">
        <v>1454874.5</v>
      </c>
      <c r="T37" s="316"/>
      <c r="U37" s="316"/>
      <c r="V37" s="316"/>
      <c r="W37" s="316"/>
      <c r="X37" s="316"/>
      <c r="Y37" s="167" t="b">
        <f t="shared" si="6"/>
        <v>1</v>
      </c>
      <c r="Z37" s="185">
        <f t="shared" si="7"/>
        <v>0.5</v>
      </c>
      <c r="AA37" s="186" t="b">
        <f t="shared" si="8"/>
        <v>1</v>
      </c>
      <c r="AB37" s="186" t="b">
        <f t="shared" si="9"/>
        <v>1</v>
      </c>
    </row>
    <row r="38" spans="1:28" s="326" customFormat="1" ht="12.75">
      <c r="A38" s="211">
        <v>36</v>
      </c>
      <c r="B38" s="211" t="s">
        <v>685</v>
      </c>
      <c r="C38" s="211" t="s">
        <v>117</v>
      </c>
      <c r="D38" s="224" t="s">
        <v>665</v>
      </c>
      <c r="E38" s="308" t="s">
        <v>666</v>
      </c>
      <c r="F38" s="211" t="s">
        <v>186</v>
      </c>
      <c r="G38" s="224" t="s">
        <v>686</v>
      </c>
      <c r="H38" s="206" t="s">
        <v>42</v>
      </c>
      <c r="I38" s="321">
        <v>0.857</v>
      </c>
      <c r="J38" s="214" t="s">
        <v>150</v>
      </c>
      <c r="K38" s="216">
        <v>3660364</v>
      </c>
      <c r="L38" s="216">
        <v>2013200.2000000002</v>
      </c>
      <c r="M38" s="237">
        <f t="shared" si="5"/>
        <v>1647163.7999999998</v>
      </c>
      <c r="N38" s="217">
        <v>0.55</v>
      </c>
      <c r="O38" s="322"/>
      <c r="P38" s="322"/>
      <c r="Q38" s="318"/>
      <c r="R38" s="318">
        <v>2013200.2000000002</v>
      </c>
      <c r="S38" s="318"/>
      <c r="T38" s="318"/>
      <c r="U38" s="318"/>
      <c r="V38" s="318"/>
      <c r="W38" s="318"/>
      <c r="X38" s="318"/>
      <c r="Y38" s="167" t="b">
        <f t="shared" si="6"/>
        <v>1</v>
      </c>
      <c r="Z38" s="185">
        <f t="shared" si="7"/>
        <v>0.55</v>
      </c>
      <c r="AA38" s="186" t="b">
        <f t="shared" si="8"/>
        <v>1</v>
      </c>
      <c r="AB38" s="186" t="b">
        <f t="shared" si="9"/>
        <v>1</v>
      </c>
    </row>
    <row r="39" spans="1:28" s="327" customFormat="1" ht="12.75">
      <c r="A39" s="175">
        <v>37</v>
      </c>
      <c r="B39" s="175" t="s">
        <v>687</v>
      </c>
      <c r="C39" s="175" t="s">
        <v>110</v>
      </c>
      <c r="D39" s="204" t="s">
        <v>688</v>
      </c>
      <c r="E39" s="313" t="s">
        <v>689</v>
      </c>
      <c r="F39" s="175" t="s">
        <v>186</v>
      </c>
      <c r="G39" s="177" t="s">
        <v>690</v>
      </c>
      <c r="H39" s="174" t="s">
        <v>42</v>
      </c>
      <c r="I39" s="198">
        <v>3.208</v>
      </c>
      <c r="J39" s="199" t="s">
        <v>691</v>
      </c>
      <c r="K39" s="179">
        <v>3780994</v>
      </c>
      <c r="L39" s="179">
        <v>1890497</v>
      </c>
      <c r="M39" s="180">
        <f t="shared" si="5"/>
        <v>1890497</v>
      </c>
      <c r="N39" s="181">
        <v>0.5</v>
      </c>
      <c r="O39" s="315"/>
      <c r="P39" s="315"/>
      <c r="Q39" s="316"/>
      <c r="R39" s="316">
        <v>890497</v>
      </c>
      <c r="S39" s="316">
        <v>1000000</v>
      </c>
      <c r="T39" s="316"/>
      <c r="U39" s="316"/>
      <c r="V39" s="316"/>
      <c r="W39" s="316"/>
      <c r="X39" s="316"/>
      <c r="Y39" s="167" t="b">
        <f t="shared" si="6"/>
        <v>1</v>
      </c>
      <c r="Z39" s="185">
        <f t="shared" si="7"/>
        <v>0.5</v>
      </c>
      <c r="AA39" s="186" t="b">
        <f t="shared" si="8"/>
        <v>1</v>
      </c>
      <c r="AB39" s="186" t="b">
        <f t="shared" si="9"/>
        <v>1</v>
      </c>
    </row>
    <row r="40" spans="1:35" s="401" customFormat="1" ht="12.75">
      <c r="A40" s="175">
        <v>38</v>
      </c>
      <c r="B40" s="175" t="s">
        <v>692</v>
      </c>
      <c r="C40" s="304" t="s">
        <v>110</v>
      </c>
      <c r="D40" s="204" t="s">
        <v>357</v>
      </c>
      <c r="E40" s="178" t="s">
        <v>358</v>
      </c>
      <c r="F40" s="174" t="s">
        <v>210</v>
      </c>
      <c r="G40" s="177" t="s">
        <v>693</v>
      </c>
      <c r="H40" s="174" t="s">
        <v>59</v>
      </c>
      <c r="I40" s="198">
        <v>1.201</v>
      </c>
      <c r="J40" s="199" t="s">
        <v>360</v>
      </c>
      <c r="K40" s="179">
        <v>5860224</v>
      </c>
      <c r="L40" s="179">
        <v>2930112</v>
      </c>
      <c r="M40" s="180">
        <f t="shared" si="5"/>
        <v>2930112</v>
      </c>
      <c r="N40" s="181">
        <v>0.5</v>
      </c>
      <c r="O40" s="315"/>
      <c r="P40" s="315"/>
      <c r="Q40" s="316"/>
      <c r="R40" s="316">
        <v>1029007.5</v>
      </c>
      <c r="S40" s="316">
        <v>1901104.5</v>
      </c>
      <c r="T40" s="316"/>
      <c r="U40" s="316"/>
      <c r="V40" s="316"/>
      <c r="W40" s="316"/>
      <c r="X40" s="397"/>
      <c r="Y40" s="167" t="b">
        <f t="shared" si="6"/>
        <v>1</v>
      </c>
      <c r="Z40" s="185">
        <f t="shared" si="7"/>
        <v>0.5</v>
      </c>
      <c r="AA40" s="186" t="b">
        <f t="shared" si="8"/>
        <v>1</v>
      </c>
      <c r="AB40" s="186" t="b">
        <f t="shared" si="9"/>
        <v>1</v>
      </c>
      <c r="AC40" s="398"/>
      <c r="AD40" s="398"/>
      <c r="AE40" s="399"/>
      <c r="AF40" s="398"/>
      <c r="AG40" s="400"/>
      <c r="AH40" s="400"/>
      <c r="AI40" s="400"/>
    </row>
    <row r="41" spans="1:28" s="327" customFormat="1" ht="12.75">
      <c r="A41" s="175">
        <v>39</v>
      </c>
      <c r="B41" s="175" t="s">
        <v>694</v>
      </c>
      <c r="C41" s="175" t="s">
        <v>110</v>
      </c>
      <c r="D41" s="204" t="s">
        <v>254</v>
      </c>
      <c r="E41" s="313" t="s">
        <v>255</v>
      </c>
      <c r="F41" s="175" t="s">
        <v>256</v>
      </c>
      <c r="G41" s="177" t="s">
        <v>695</v>
      </c>
      <c r="H41" s="174" t="s">
        <v>42</v>
      </c>
      <c r="I41" s="198">
        <v>0.943</v>
      </c>
      <c r="J41" s="199" t="s">
        <v>473</v>
      </c>
      <c r="K41" s="179">
        <v>3538637</v>
      </c>
      <c r="L41" s="179">
        <v>1769318.5</v>
      </c>
      <c r="M41" s="180">
        <f t="shared" si="5"/>
        <v>1769318.5</v>
      </c>
      <c r="N41" s="181">
        <v>0.5</v>
      </c>
      <c r="O41" s="315"/>
      <c r="P41" s="315"/>
      <c r="Q41" s="316"/>
      <c r="R41" s="316">
        <v>269318.5</v>
      </c>
      <c r="S41" s="316">
        <v>1500000</v>
      </c>
      <c r="T41" s="316"/>
      <c r="U41" s="316"/>
      <c r="V41" s="316"/>
      <c r="W41" s="316"/>
      <c r="X41" s="316"/>
      <c r="Y41" s="167" t="b">
        <f t="shared" si="6"/>
        <v>1</v>
      </c>
      <c r="Z41" s="185">
        <f t="shared" si="7"/>
        <v>0.5</v>
      </c>
      <c r="AA41" s="186" t="b">
        <f t="shared" si="8"/>
        <v>1</v>
      </c>
      <c r="AB41" s="186" t="b">
        <f t="shared" si="9"/>
        <v>1</v>
      </c>
    </row>
    <row r="42" spans="1:35" s="401" customFormat="1" ht="12.75">
      <c r="A42" s="175">
        <v>40</v>
      </c>
      <c r="B42" s="175" t="s">
        <v>696</v>
      </c>
      <c r="C42" s="304" t="s">
        <v>110</v>
      </c>
      <c r="D42" s="204" t="s">
        <v>442</v>
      </c>
      <c r="E42" s="178" t="s">
        <v>239</v>
      </c>
      <c r="F42" s="174" t="s">
        <v>240</v>
      </c>
      <c r="G42" s="177" t="s">
        <v>697</v>
      </c>
      <c r="H42" s="174" t="s">
        <v>59</v>
      </c>
      <c r="I42" s="198">
        <v>0.574</v>
      </c>
      <c r="J42" s="199" t="s">
        <v>364</v>
      </c>
      <c r="K42" s="179">
        <v>4162348</v>
      </c>
      <c r="L42" s="179">
        <v>2081174</v>
      </c>
      <c r="M42" s="180">
        <f t="shared" si="5"/>
        <v>2081174</v>
      </c>
      <c r="N42" s="181">
        <v>0.5</v>
      </c>
      <c r="O42" s="315"/>
      <c r="P42" s="315"/>
      <c r="Q42" s="316"/>
      <c r="R42" s="316">
        <v>1300527</v>
      </c>
      <c r="S42" s="316">
        <v>780647</v>
      </c>
      <c r="T42" s="316"/>
      <c r="U42" s="316"/>
      <c r="V42" s="316"/>
      <c r="W42" s="316"/>
      <c r="X42" s="397"/>
      <c r="Y42" s="167" t="b">
        <f t="shared" si="6"/>
        <v>1</v>
      </c>
      <c r="Z42" s="185">
        <f t="shared" si="7"/>
        <v>0.5</v>
      </c>
      <c r="AA42" s="186" t="b">
        <f t="shared" si="8"/>
        <v>1</v>
      </c>
      <c r="AB42" s="186" t="b">
        <f t="shared" si="9"/>
        <v>1</v>
      </c>
      <c r="AC42" s="398"/>
      <c r="AD42" s="398"/>
      <c r="AE42" s="399"/>
      <c r="AF42" s="398"/>
      <c r="AG42" s="398"/>
      <c r="AH42" s="398"/>
      <c r="AI42" s="398"/>
    </row>
    <row r="43" spans="1:35" s="401" customFormat="1" ht="12.75">
      <c r="A43" s="175">
        <v>41</v>
      </c>
      <c r="B43" s="175" t="s">
        <v>698</v>
      </c>
      <c r="C43" s="304" t="s">
        <v>110</v>
      </c>
      <c r="D43" s="204" t="s">
        <v>627</v>
      </c>
      <c r="E43" s="178" t="s">
        <v>628</v>
      </c>
      <c r="F43" s="174" t="s">
        <v>240</v>
      </c>
      <c r="G43" s="177" t="s">
        <v>699</v>
      </c>
      <c r="H43" s="174" t="s">
        <v>59</v>
      </c>
      <c r="I43" s="198">
        <v>2.15</v>
      </c>
      <c r="J43" s="199" t="s">
        <v>360</v>
      </c>
      <c r="K43" s="179">
        <v>4730033</v>
      </c>
      <c r="L43" s="179">
        <v>2365016.5</v>
      </c>
      <c r="M43" s="180">
        <f t="shared" si="5"/>
        <v>2365016.5</v>
      </c>
      <c r="N43" s="181">
        <v>0.5</v>
      </c>
      <c r="O43" s="315"/>
      <c r="P43" s="315"/>
      <c r="Q43" s="316"/>
      <c r="R43" s="316">
        <v>900000</v>
      </c>
      <c r="S43" s="316">
        <v>1465016.5</v>
      </c>
      <c r="T43" s="316"/>
      <c r="U43" s="316"/>
      <c r="V43" s="316"/>
      <c r="W43" s="316"/>
      <c r="X43" s="397"/>
      <c r="Y43" s="167" t="b">
        <f t="shared" si="6"/>
        <v>1</v>
      </c>
      <c r="Z43" s="185">
        <f t="shared" si="7"/>
        <v>0.5</v>
      </c>
      <c r="AA43" s="186" t="b">
        <f t="shared" si="8"/>
        <v>1</v>
      </c>
      <c r="AB43" s="186" t="b">
        <f t="shared" si="9"/>
        <v>1</v>
      </c>
      <c r="AC43" s="398"/>
      <c r="AD43" s="398"/>
      <c r="AE43" s="399"/>
      <c r="AF43" s="398"/>
      <c r="AG43" s="398"/>
      <c r="AH43" s="398"/>
      <c r="AI43" s="398"/>
    </row>
    <row r="44" spans="1:35" s="395" customFormat="1" ht="12.75">
      <c r="A44" s="211">
        <v>42</v>
      </c>
      <c r="B44" s="211" t="s">
        <v>700</v>
      </c>
      <c r="C44" s="211" t="s">
        <v>117</v>
      </c>
      <c r="D44" s="210" t="s">
        <v>701</v>
      </c>
      <c r="E44" s="375" t="s">
        <v>702</v>
      </c>
      <c r="F44" s="206" t="s">
        <v>424</v>
      </c>
      <c r="G44" s="224" t="s">
        <v>703</v>
      </c>
      <c r="H44" s="206" t="s">
        <v>42</v>
      </c>
      <c r="I44" s="321">
        <v>0.488</v>
      </c>
      <c r="J44" s="214" t="s">
        <v>369</v>
      </c>
      <c r="K44" s="216">
        <v>1341700</v>
      </c>
      <c r="L44" s="216">
        <v>670850</v>
      </c>
      <c r="M44" s="237">
        <f t="shared" si="5"/>
        <v>670850</v>
      </c>
      <c r="N44" s="217">
        <v>0.5</v>
      </c>
      <c r="O44" s="322"/>
      <c r="P44" s="322"/>
      <c r="Q44" s="318"/>
      <c r="R44" s="318">
        <v>670850</v>
      </c>
      <c r="S44" s="318"/>
      <c r="T44" s="318"/>
      <c r="U44" s="318"/>
      <c r="V44" s="318"/>
      <c r="W44" s="318"/>
      <c r="X44" s="402"/>
      <c r="Y44" s="167" t="b">
        <f t="shared" si="6"/>
        <v>1</v>
      </c>
      <c r="Z44" s="185">
        <f t="shared" si="7"/>
        <v>0.5</v>
      </c>
      <c r="AA44" s="186" t="b">
        <f t="shared" si="8"/>
        <v>1</v>
      </c>
      <c r="AB44" s="186" t="b">
        <f t="shared" si="9"/>
        <v>1</v>
      </c>
      <c r="AC44" s="392"/>
      <c r="AD44" s="392"/>
      <c r="AE44" s="393"/>
      <c r="AF44" s="392"/>
      <c r="AG44" s="392"/>
      <c r="AH44" s="392"/>
      <c r="AI44" s="392"/>
    </row>
    <row r="45" spans="1:35" s="395" customFormat="1" ht="12.75">
      <c r="A45" s="211">
        <v>43</v>
      </c>
      <c r="B45" s="211" t="s">
        <v>704</v>
      </c>
      <c r="C45" s="211" t="s">
        <v>117</v>
      </c>
      <c r="D45" s="210" t="s">
        <v>448</v>
      </c>
      <c r="E45" s="375" t="s">
        <v>449</v>
      </c>
      <c r="F45" s="206" t="s">
        <v>240</v>
      </c>
      <c r="G45" s="224" t="s">
        <v>705</v>
      </c>
      <c r="H45" s="206" t="s">
        <v>42</v>
      </c>
      <c r="I45" s="321">
        <v>0.271</v>
      </c>
      <c r="J45" s="214" t="s">
        <v>120</v>
      </c>
      <c r="K45" s="216">
        <v>826033</v>
      </c>
      <c r="L45" s="216">
        <v>413016.5</v>
      </c>
      <c r="M45" s="237">
        <f t="shared" si="5"/>
        <v>413016.5</v>
      </c>
      <c r="N45" s="217">
        <v>0.5</v>
      </c>
      <c r="O45" s="322"/>
      <c r="P45" s="322"/>
      <c r="Q45" s="318"/>
      <c r="R45" s="318">
        <v>413016.5</v>
      </c>
      <c r="S45" s="318"/>
      <c r="T45" s="318"/>
      <c r="U45" s="318"/>
      <c r="V45" s="318"/>
      <c r="W45" s="318"/>
      <c r="X45" s="402"/>
      <c r="Y45" s="167" t="b">
        <f t="shared" si="6"/>
        <v>1</v>
      </c>
      <c r="Z45" s="185">
        <f t="shared" si="7"/>
        <v>0.5</v>
      </c>
      <c r="AA45" s="186" t="b">
        <f t="shared" si="8"/>
        <v>1</v>
      </c>
      <c r="AB45" s="186" t="b">
        <f t="shared" si="9"/>
        <v>1</v>
      </c>
      <c r="AC45" s="392"/>
      <c r="AD45" s="392"/>
      <c r="AE45" s="393"/>
      <c r="AF45" s="392"/>
      <c r="AG45" s="392"/>
      <c r="AH45" s="392"/>
      <c r="AI45" s="392"/>
    </row>
    <row r="46" spans="1:35" s="401" customFormat="1" ht="12.75">
      <c r="A46" s="175">
        <v>44</v>
      </c>
      <c r="B46" s="175" t="s">
        <v>706</v>
      </c>
      <c r="C46" s="304" t="s">
        <v>110</v>
      </c>
      <c r="D46" s="204" t="s">
        <v>707</v>
      </c>
      <c r="E46" s="178" t="s">
        <v>708</v>
      </c>
      <c r="F46" s="174" t="s">
        <v>709</v>
      </c>
      <c r="G46" s="177" t="s">
        <v>710</v>
      </c>
      <c r="H46" s="174" t="s">
        <v>59</v>
      </c>
      <c r="I46" s="198">
        <v>2.38</v>
      </c>
      <c r="J46" s="199" t="s">
        <v>454</v>
      </c>
      <c r="K46" s="179">
        <v>18153084</v>
      </c>
      <c r="L46" s="179">
        <v>9076542</v>
      </c>
      <c r="M46" s="180">
        <f t="shared" si="5"/>
        <v>9076542</v>
      </c>
      <c r="N46" s="181">
        <v>0.5</v>
      </c>
      <c r="O46" s="315"/>
      <c r="P46" s="315"/>
      <c r="Q46" s="316"/>
      <c r="R46" s="316">
        <v>4919630</v>
      </c>
      <c r="S46" s="316">
        <v>4156912</v>
      </c>
      <c r="T46" s="316"/>
      <c r="U46" s="316"/>
      <c r="V46" s="316"/>
      <c r="W46" s="316"/>
      <c r="X46" s="397"/>
      <c r="Y46" s="167" t="b">
        <f t="shared" si="6"/>
        <v>1</v>
      </c>
      <c r="Z46" s="185">
        <f t="shared" si="7"/>
        <v>0.5</v>
      </c>
      <c r="AA46" s="186" t="b">
        <f t="shared" si="8"/>
        <v>1</v>
      </c>
      <c r="AB46" s="186" t="b">
        <f t="shared" si="9"/>
        <v>1</v>
      </c>
      <c r="AC46" s="398"/>
      <c r="AD46" s="398"/>
      <c r="AE46" s="399"/>
      <c r="AF46" s="398"/>
      <c r="AG46" s="398"/>
      <c r="AH46" s="398"/>
      <c r="AI46" s="398"/>
    </row>
    <row r="47" spans="1:35" s="395" customFormat="1" ht="12.75">
      <c r="A47" s="211">
        <v>45</v>
      </c>
      <c r="B47" s="211" t="s">
        <v>711</v>
      </c>
      <c r="C47" s="211" t="s">
        <v>117</v>
      </c>
      <c r="D47" s="210" t="s">
        <v>712</v>
      </c>
      <c r="E47" s="375" t="s">
        <v>713</v>
      </c>
      <c r="F47" s="206" t="s">
        <v>191</v>
      </c>
      <c r="G47" s="224" t="s">
        <v>714</v>
      </c>
      <c r="H47" s="206" t="s">
        <v>42</v>
      </c>
      <c r="I47" s="321">
        <v>0.229</v>
      </c>
      <c r="J47" s="214" t="s">
        <v>509</v>
      </c>
      <c r="K47" s="216">
        <v>1009572</v>
      </c>
      <c r="L47" s="216">
        <v>504786</v>
      </c>
      <c r="M47" s="237">
        <f t="shared" si="5"/>
        <v>504786</v>
      </c>
      <c r="N47" s="217">
        <v>0.5</v>
      </c>
      <c r="O47" s="322"/>
      <c r="P47" s="322"/>
      <c r="Q47" s="318"/>
      <c r="R47" s="318">
        <v>504786</v>
      </c>
      <c r="S47" s="318"/>
      <c r="T47" s="318"/>
      <c r="U47" s="318"/>
      <c r="V47" s="318"/>
      <c r="W47" s="318"/>
      <c r="X47" s="402"/>
      <c r="Y47" s="167" t="b">
        <f t="shared" si="6"/>
        <v>1</v>
      </c>
      <c r="Z47" s="185">
        <f t="shared" si="7"/>
        <v>0.5</v>
      </c>
      <c r="AA47" s="186" t="b">
        <f t="shared" si="8"/>
        <v>1</v>
      </c>
      <c r="AB47" s="186" t="b">
        <f t="shared" si="9"/>
        <v>1</v>
      </c>
      <c r="AC47" s="392"/>
      <c r="AD47" s="392"/>
      <c r="AE47" s="393"/>
      <c r="AF47" s="392"/>
      <c r="AG47" s="392"/>
      <c r="AH47" s="392"/>
      <c r="AI47" s="392"/>
    </row>
    <row r="48" spans="1:35" s="395" customFormat="1" ht="12.75">
      <c r="A48" s="211">
        <v>46</v>
      </c>
      <c r="B48" s="211" t="s">
        <v>715</v>
      </c>
      <c r="C48" s="211" t="s">
        <v>117</v>
      </c>
      <c r="D48" s="210" t="s">
        <v>712</v>
      </c>
      <c r="E48" s="375" t="s">
        <v>713</v>
      </c>
      <c r="F48" s="206" t="s">
        <v>191</v>
      </c>
      <c r="G48" s="224" t="s">
        <v>716</v>
      </c>
      <c r="H48" s="206" t="s">
        <v>42</v>
      </c>
      <c r="I48" s="321">
        <v>0.926</v>
      </c>
      <c r="J48" s="214" t="s">
        <v>509</v>
      </c>
      <c r="K48" s="216">
        <v>3899757</v>
      </c>
      <c r="L48" s="216">
        <v>1949878.5</v>
      </c>
      <c r="M48" s="237">
        <f t="shared" si="5"/>
        <v>1949878.5</v>
      </c>
      <c r="N48" s="217">
        <v>0.5</v>
      </c>
      <c r="O48" s="322"/>
      <c r="P48" s="322"/>
      <c r="Q48" s="318"/>
      <c r="R48" s="318">
        <v>1949878.5</v>
      </c>
      <c r="S48" s="318"/>
      <c r="T48" s="318"/>
      <c r="U48" s="318"/>
      <c r="V48" s="318"/>
      <c r="W48" s="318"/>
      <c r="X48" s="402"/>
      <c r="Y48" s="167" t="b">
        <f t="shared" si="6"/>
        <v>1</v>
      </c>
      <c r="Z48" s="185">
        <f t="shared" si="7"/>
        <v>0.5</v>
      </c>
      <c r="AA48" s="186" t="b">
        <f t="shared" si="8"/>
        <v>1</v>
      </c>
      <c r="AB48" s="186" t="b">
        <f t="shared" si="9"/>
        <v>1</v>
      </c>
      <c r="AC48" s="392"/>
      <c r="AD48" s="392"/>
      <c r="AE48" s="393"/>
      <c r="AF48" s="392"/>
      <c r="AG48" s="392"/>
      <c r="AH48" s="392"/>
      <c r="AI48" s="392"/>
    </row>
    <row r="49" spans="1:35" s="395" customFormat="1" ht="12.75">
      <c r="A49" s="211">
        <v>47</v>
      </c>
      <c r="B49" s="211" t="s">
        <v>717</v>
      </c>
      <c r="C49" s="211" t="s">
        <v>117</v>
      </c>
      <c r="D49" s="210" t="s">
        <v>718</v>
      </c>
      <c r="E49" s="375" t="s">
        <v>719</v>
      </c>
      <c r="F49" s="206" t="s">
        <v>234</v>
      </c>
      <c r="G49" s="224" t="s">
        <v>720</v>
      </c>
      <c r="H49" s="206" t="s">
        <v>42</v>
      </c>
      <c r="I49" s="321">
        <v>0.525</v>
      </c>
      <c r="J49" s="214" t="s">
        <v>721</v>
      </c>
      <c r="K49" s="216">
        <v>1743212</v>
      </c>
      <c r="L49" s="216">
        <v>958766.6000000001</v>
      </c>
      <c r="M49" s="237">
        <f t="shared" si="5"/>
        <v>784445.3999999999</v>
      </c>
      <c r="N49" s="217">
        <v>0.55</v>
      </c>
      <c r="O49" s="322"/>
      <c r="P49" s="322"/>
      <c r="Q49" s="318"/>
      <c r="R49" s="318">
        <v>958766.6000000001</v>
      </c>
      <c r="S49" s="318"/>
      <c r="T49" s="318"/>
      <c r="U49" s="318"/>
      <c r="V49" s="318"/>
      <c r="W49" s="318"/>
      <c r="X49" s="402"/>
      <c r="Y49" s="167" t="b">
        <f t="shared" si="6"/>
        <v>1</v>
      </c>
      <c r="Z49" s="185">
        <f t="shared" si="7"/>
        <v>0.55</v>
      </c>
      <c r="AA49" s="186" t="b">
        <f t="shared" si="8"/>
        <v>1</v>
      </c>
      <c r="AB49" s="186" t="b">
        <f t="shared" si="9"/>
        <v>1</v>
      </c>
      <c r="AC49" s="392"/>
      <c r="AD49" s="392"/>
      <c r="AE49" s="393"/>
      <c r="AF49" s="392"/>
      <c r="AG49" s="392"/>
      <c r="AH49" s="392"/>
      <c r="AI49" s="392"/>
    </row>
    <row r="50" spans="1:35" s="395" customFormat="1" ht="12.75">
      <c r="A50" s="211">
        <v>48</v>
      </c>
      <c r="B50" s="211" t="s">
        <v>722</v>
      </c>
      <c r="C50" s="211" t="s">
        <v>117</v>
      </c>
      <c r="D50" s="210" t="s">
        <v>593</v>
      </c>
      <c r="E50" s="375" t="s">
        <v>594</v>
      </c>
      <c r="F50" s="206" t="s">
        <v>595</v>
      </c>
      <c r="G50" s="224" t="s">
        <v>723</v>
      </c>
      <c r="H50" s="206" t="s">
        <v>42</v>
      </c>
      <c r="I50" s="321">
        <v>0.893</v>
      </c>
      <c r="J50" s="214" t="s">
        <v>369</v>
      </c>
      <c r="K50" s="216">
        <v>5626899</v>
      </c>
      <c r="L50" s="216">
        <v>2813449.5</v>
      </c>
      <c r="M50" s="237">
        <f t="shared" si="5"/>
        <v>2813449.5</v>
      </c>
      <c r="N50" s="217">
        <v>0.5</v>
      </c>
      <c r="O50" s="322"/>
      <c r="P50" s="322"/>
      <c r="Q50" s="318"/>
      <c r="R50" s="318">
        <v>2813449.5</v>
      </c>
      <c r="S50" s="318"/>
      <c r="T50" s="318"/>
      <c r="U50" s="318"/>
      <c r="V50" s="318"/>
      <c r="W50" s="318"/>
      <c r="X50" s="402"/>
      <c r="Y50" s="167" t="b">
        <f t="shared" si="6"/>
        <v>1</v>
      </c>
      <c r="Z50" s="185">
        <f t="shared" si="7"/>
        <v>0.5</v>
      </c>
      <c r="AA50" s="186" t="b">
        <f t="shared" si="8"/>
        <v>1</v>
      </c>
      <c r="AB50" s="186" t="b">
        <f t="shared" si="9"/>
        <v>1</v>
      </c>
      <c r="AC50" s="392"/>
      <c r="AD50" s="392"/>
      <c r="AE50" s="393"/>
      <c r="AF50" s="392"/>
      <c r="AG50" s="392"/>
      <c r="AH50" s="392"/>
      <c r="AI50" s="392"/>
    </row>
    <row r="51" spans="1:35" s="395" customFormat="1" ht="12.75">
      <c r="A51" s="211">
        <v>49</v>
      </c>
      <c r="B51" s="211" t="s">
        <v>724</v>
      </c>
      <c r="C51" s="211" t="s">
        <v>117</v>
      </c>
      <c r="D51" s="210" t="s">
        <v>725</v>
      </c>
      <c r="E51" s="375" t="s">
        <v>726</v>
      </c>
      <c r="F51" s="206" t="s">
        <v>205</v>
      </c>
      <c r="G51" s="224" t="s">
        <v>727</v>
      </c>
      <c r="H51" s="206" t="s">
        <v>42</v>
      </c>
      <c r="I51" s="321">
        <v>0.787</v>
      </c>
      <c r="J51" s="214" t="s">
        <v>154</v>
      </c>
      <c r="K51" s="216">
        <v>743030</v>
      </c>
      <c r="L51" s="216">
        <v>371515</v>
      </c>
      <c r="M51" s="237">
        <f t="shared" si="5"/>
        <v>371515</v>
      </c>
      <c r="N51" s="217">
        <v>0.5</v>
      </c>
      <c r="O51" s="322"/>
      <c r="P51" s="322"/>
      <c r="Q51" s="318"/>
      <c r="R51" s="318">
        <v>371515</v>
      </c>
      <c r="S51" s="318"/>
      <c r="T51" s="318"/>
      <c r="U51" s="318"/>
      <c r="V51" s="318"/>
      <c r="W51" s="318"/>
      <c r="X51" s="402"/>
      <c r="Y51" s="167" t="b">
        <f t="shared" si="6"/>
        <v>1</v>
      </c>
      <c r="Z51" s="185">
        <f t="shared" si="7"/>
        <v>0.5</v>
      </c>
      <c r="AA51" s="186" t="b">
        <f t="shared" si="8"/>
        <v>1</v>
      </c>
      <c r="AB51" s="186" t="b">
        <f t="shared" si="9"/>
        <v>1</v>
      </c>
      <c r="AC51" s="392"/>
      <c r="AD51" s="392"/>
      <c r="AE51" s="393"/>
      <c r="AF51" s="392"/>
      <c r="AG51" s="392"/>
      <c r="AH51" s="392"/>
      <c r="AI51" s="392"/>
    </row>
    <row r="52" spans="1:35" s="401" customFormat="1" ht="12.75">
      <c r="A52" s="175">
        <v>50</v>
      </c>
      <c r="B52" s="175" t="s">
        <v>728</v>
      </c>
      <c r="C52" s="304" t="s">
        <v>110</v>
      </c>
      <c r="D52" s="204" t="s">
        <v>232</v>
      </c>
      <c r="E52" s="178" t="s">
        <v>233</v>
      </c>
      <c r="F52" s="174" t="s">
        <v>234</v>
      </c>
      <c r="G52" s="177" t="s">
        <v>729</v>
      </c>
      <c r="H52" s="174" t="s">
        <v>42</v>
      </c>
      <c r="I52" s="198">
        <v>0.277</v>
      </c>
      <c r="J52" s="199" t="s">
        <v>479</v>
      </c>
      <c r="K52" s="179">
        <v>1420501</v>
      </c>
      <c r="L52" s="179">
        <v>710250.5</v>
      </c>
      <c r="M52" s="180">
        <f t="shared" si="5"/>
        <v>710250.5</v>
      </c>
      <c r="N52" s="181">
        <v>0.5</v>
      </c>
      <c r="O52" s="315"/>
      <c r="P52" s="315"/>
      <c r="Q52" s="316"/>
      <c r="R52" s="316">
        <v>355875.5</v>
      </c>
      <c r="S52" s="316">
        <v>354375</v>
      </c>
      <c r="T52" s="316"/>
      <c r="U52" s="316"/>
      <c r="V52" s="316"/>
      <c r="W52" s="316"/>
      <c r="X52" s="397"/>
      <c r="Y52" s="167" t="b">
        <f t="shared" si="6"/>
        <v>1</v>
      </c>
      <c r="Z52" s="185">
        <f t="shared" si="7"/>
        <v>0.5</v>
      </c>
      <c r="AA52" s="186" t="b">
        <f t="shared" si="8"/>
        <v>1</v>
      </c>
      <c r="AB52" s="186" t="b">
        <f t="shared" si="9"/>
        <v>1</v>
      </c>
      <c r="AC52" s="398"/>
      <c r="AD52" s="398"/>
      <c r="AE52" s="399"/>
      <c r="AF52" s="398"/>
      <c r="AG52" s="398"/>
      <c r="AH52" s="398"/>
      <c r="AI52" s="398"/>
    </row>
    <row r="53" spans="1:35" s="395" customFormat="1" ht="12.75">
      <c r="A53" s="211">
        <v>51</v>
      </c>
      <c r="B53" s="211" t="s">
        <v>730</v>
      </c>
      <c r="C53" s="211" t="s">
        <v>117</v>
      </c>
      <c r="D53" s="210" t="s">
        <v>204</v>
      </c>
      <c r="E53" s="375" t="s">
        <v>475</v>
      </c>
      <c r="F53" s="206" t="s">
        <v>205</v>
      </c>
      <c r="G53" s="224" t="s">
        <v>731</v>
      </c>
      <c r="H53" s="206" t="s">
        <v>42</v>
      </c>
      <c r="I53" s="321">
        <v>0.535</v>
      </c>
      <c r="J53" s="214" t="s">
        <v>383</v>
      </c>
      <c r="K53" s="216">
        <v>1022353</v>
      </c>
      <c r="L53" s="216">
        <v>511176.5</v>
      </c>
      <c r="M53" s="237">
        <f t="shared" si="5"/>
        <v>511176.5</v>
      </c>
      <c r="N53" s="217">
        <v>0.5</v>
      </c>
      <c r="O53" s="322"/>
      <c r="P53" s="322"/>
      <c r="Q53" s="318"/>
      <c r="R53" s="318">
        <v>511176.5</v>
      </c>
      <c r="S53" s="318"/>
      <c r="T53" s="318"/>
      <c r="U53" s="318"/>
      <c r="V53" s="318"/>
      <c r="W53" s="318"/>
      <c r="X53" s="402"/>
      <c r="Y53" s="167" t="b">
        <f t="shared" si="6"/>
        <v>1</v>
      </c>
      <c r="Z53" s="185">
        <f t="shared" si="7"/>
        <v>0.5</v>
      </c>
      <c r="AA53" s="186" t="b">
        <f t="shared" si="8"/>
        <v>1</v>
      </c>
      <c r="AB53" s="186" t="b">
        <f t="shared" si="9"/>
        <v>1</v>
      </c>
      <c r="AC53" s="392"/>
      <c r="AD53" s="392"/>
      <c r="AE53" s="393"/>
      <c r="AF53" s="392"/>
      <c r="AG53" s="392"/>
      <c r="AH53" s="392"/>
      <c r="AI53" s="392"/>
    </row>
    <row r="54" spans="1:35" s="395" customFormat="1" ht="12.75">
      <c r="A54" s="211">
        <v>52</v>
      </c>
      <c r="B54" s="211" t="s">
        <v>732</v>
      </c>
      <c r="C54" s="211" t="s">
        <v>117</v>
      </c>
      <c r="D54" s="210" t="s">
        <v>733</v>
      </c>
      <c r="E54" s="375" t="s">
        <v>734</v>
      </c>
      <c r="F54" s="206" t="s">
        <v>191</v>
      </c>
      <c r="G54" s="224" t="s">
        <v>735</v>
      </c>
      <c r="H54" s="206" t="s">
        <v>87</v>
      </c>
      <c r="I54" s="321">
        <v>0.69</v>
      </c>
      <c r="J54" s="214" t="s">
        <v>162</v>
      </c>
      <c r="K54" s="216">
        <v>1434440</v>
      </c>
      <c r="L54" s="216">
        <v>788942.0000000001</v>
      </c>
      <c r="M54" s="237">
        <f t="shared" si="5"/>
        <v>645497.9999999999</v>
      </c>
      <c r="N54" s="217">
        <v>0.55</v>
      </c>
      <c r="O54" s="322"/>
      <c r="P54" s="322"/>
      <c r="Q54" s="318"/>
      <c r="R54" s="318">
        <v>788942.0000000001</v>
      </c>
      <c r="S54" s="318"/>
      <c r="T54" s="318"/>
      <c r="U54" s="318"/>
      <c r="V54" s="318"/>
      <c r="W54" s="318"/>
      <c r="X54" s="402"/>
      <c r="Y54" s="167" t="b">
        <f t="shared" si="6"/>
        <v>1</v>
      </c>
      <c r="Z54" s="185">
        <f t="shared" si="7"/>
        <v>0.55</v>
      </c>
      <c r="AA54" s="186" t="b">
        <f t="shared" si="8"/>
        <v>1</v>
      </c>
      <c r="AB54" s="186" t="b">
        <f t="shared" si="9"/>
        <v>1</v>
      </c>
      <c r="AC54" s="392"/>
      <c r="AD54" s="392"/>
      <c r="AE54" s="393"/>
      <c r="AF54" s="392"/>
      <c r="AG54" s="392"/>
      <c r="AH54" s="392"/>
      <c r="AI54" s="392"/>
    </row>
    <row r="55" spans="1:35" s="395" customFormat="1" ht="12.75">
      <c r="A55" s="211">
        <v>53</v>
      </c>
      <c r="B55" s="211" t="s">
        <v>736</v>
      </c>
      <c r="C55" s="211" t="s">
        <v>117</v>
      </c>
      <c r="D55" s="210" t="s">
        <v>733</v>
      </c>
      <c r="E55" s="375" t="s">
        <v>734</v>
      </c>
      <c r="F55" s="206" t="s">
        <v>191</v>
      </c>
      <c r="G55" s="224" t="s">
        <v>737</v>
      </c>
      <c r="H55" s="206" t="s">
        <v>87</v>
      </c>
      <c r="I55" s="321">
        <v>0.258</v>
      </c>
      <c r="J55" s="214" t="s">
        <v>162</v>
      </c>
      <c r="K55" s="216">
        <v>778019</v>
      </c>
      <c r="L55" s="216">
        <v>427910.45</v>
      </c>
      <c r="M55" s="237">
        <f t="shared" si="5"/>
        <v>350108.55</v>
      </c>
      <c r="N55" s="217">
        <v>0.55</v>
      </c>
      <c r="O55" s="322"/>
      <c r="P55" s="322"/>
      <c r="Q55" s="318"/>
      <c r="R55" s="318">
        <v>427910.45</v>
      </c>
      <c r="S55" s="318"/>
      <c r="T55" s="318"/>
      <c r="U55" s="318"/>
      <c r="V55" s="318"/>
      <c r="W55" s="318"/>
      <c r="X55" s="402"/>
      <c r="Y55" s="167" t="b">
        <f t="shared" si="6"/>
        <v>1</v>
      </c>
      <c r="Z55" s="185">
        <f t="shared" si="7"/>
        <v>0.55</v>
      </c>
      <c r="AA55" s="186" t="b">
        <f t="shared" si="8"/>
        <v>1</v>
      </c>
      <c r="AB55" s="186" t="b">
        <f t="shared" si="9"/>
        <v>1</v>
      </c>
      <c r="AC55" s="392"/>
      <c r="AD55" s="392"/>
      <c r="AE55" s="393"/>
      <c r="AF55" s="392"/>
      <c r="AG55" s="392"/>
      <c r="AH55" s="392"/>
      <c r="AI55" s="392"/>
    </row>
    <row r="56" spans="1:35" s="395" customFormat="1" ht="12.75">
      <c r="A56" s="211">
        <v>54</v>
      </c>
      <c r="B56" s="211" t="s">
        <v>738</v>
      </c>
      <c r="C56" s="211" t="s">
        <v>117</v>
      </c>
      <c r="D56" s="210" t="s">
        <v>456</v>
      </c>
      <c r="E56" s="375" t="s">
        <v>457</v>
      </c>
      <c r="F56" s="206" t="s">
        <v>205</v>
      </c>
      <c r="G56" s="224" t="s">
        <v>739</v>
      </c>
      <c r="H56" s="206" t="s">
        <v>42</v>
      </c>
      <c r="I56" s="321">
        <v>0.467</v>
      </c>
      <c r="J56" s="214" t="s">
        <v>369</v>
      </c>
      <c r="K56" s="216">
        <v>604255</v>
      </c>
      <c r="L56" s="216">
        <v>302127.5</v>
      </c>
      <c r="M56" s="237">
        <f t="shared" si="5"/>
        <v>302127.5</v>
      </c>
      <c r="N56" s="217">
        <v>0.5</v>
      </c>
      <c r="O56" s="322"/>
      <c r="P56" s="322"/>
      <c r="Q56" s="318"/>
      <c r="R56" s="318">
        <v>302127.5</v>
      </c>
      <c r="S56" s="318"/>
      <c r="T56" s="318"/>
      <c r="U56" s="318"/>
      <c r="V56" s="318"/>
      <c r="W56" s="318"/>
      <c r="X56" s="402"/>
      <c r="Y56" s="167" t="b">
        <f t="shared" si="6"/>
        <v>1</v>
      </c>
      <c r="Z56" s="185">
        <f t="shared" si="7"/>
        <v>0.5</v>
      </c>
      <c r="AA56" s="186" t="b">
        <f t="shared" si="8"/>
        <v>1</v>
      </c>
      <c r="AB56" s="186" t="b">
        <f t="shared" si="9"/>
        <v>1</v>
      </c>
      <c r="AC56" s="392"/>
      <c r="AD56" s="392"/>
      <c r="AE56" s="393"/>
      <c r="AF56" s="392"/>
      <c r="AG56" s="392"/>
      <c r="AH56" s="392"/>
      <c r="AI56" s="392"/>
    </row>
    <row r="57" spans="1:35" s="401" customFormat="1" ht="12.75">
      <c r="A57" s="175">
        <v>55</v>
      </c>
      <c r="B57" s="175" t="s">
        <v>740</v>
      </c>
      <c r="C57" s="304" t="s">
        <v>110</v>
      </c>
      <c r="D57" s="204" t="s">
        <v>48</v>
      </c>
      <c r="E57" s="178" t="s">
        <v>582</v>
      </c>
      <c r="F57" s="174" t="s">
        <v>583</v>
      </c>
      <c r="G57" s="177" t="s">
        <v>741</v>
      </c>
      <c r="H57" s="174" t="s">
        <v>59</v>
      </c>
      <c r="I57" s="198">
        <v>0.302</v>
      </c>
      <c r="J57" s="199" t="s">
        <v>742</v>
      </c>
      <c r="K57" s="179">
        <v>2563920</v>
      </c>
      <c r="L57" s="179">
        <v>1281960</v>
      </c>
      <c r="M57" s="180">
        <f t="shared" si="5"/>
        <v>1281960</v>
      </c>
      <c r="N57" s="181">
        <v>0.5</v>
      </c>
      <c r="O57" s="315"/>
      <c r="P57" s="315"/>
      <c r="Q57" s="316"/>
      <c r="R57" s="316">
        <v>590980</v>
      </c>
      <c r="S57" s="316">
        <v>690980</v>
      </c>
      <c r="T57" s="316"/>
      <c r="U57" s="316"/>
      <c r="V57" s="316"/>
      <c r="W57" s="316"/>
      <c r="X57" s="397"/>
      <c r="Y57" s="167" t="b">
        <f t="shared" si="6"/>
        <v>1</v>
      </c>
      <c r="Z57" s="185">
        <f t="shared" si="7"/>
        <v>0.5</v>
      </c>
      <c r="AA57" s="186" t="b">
        <f t="shared" si="8"/>
        <v>1</v>
      </c>
      <c r="AB57" s="186" t="b">
        <f t="shared" si="9"/>
        <v>1</v>
      </c>
      <c r="AC57" s="398"/>
      <c r="AD57" s="398"/>
      <c r="AE57" s="399"/>
      <c r="AF57" s="398"/>
      <c r="AG57" s="398"/>
      <c r="AH57" s="398"/>
      <c r="AI57" s="398"/>
    </row>
    <row r="58" spans="1:35" s="395" customFormat="1" ht="12.75">
      <c r="A58" s="211">
        <v>56</v>
      </c>
      <c r="B58" s="211" t="s">
        <v>743</v>
      </c>
      <c r="C58" s="211" t="s">
        <v>117</v>
      </c>
      <c r="D58" s="210" t="s">
        <v>744</v>
      </c>
      <c r="E58" s="375" t="s">
        <v>745</v>
      </c>
      <c r="F58" s="206" t="s">
        <v>228</v>
      </c>
      <c r="G58" s="224" t="s">
        <v>746</v>
      </c>
      <c r="H58" s="206" t="s">
        <v>59</v>
      </c>
      <c r="I58" s="321">
        <v>0.89</v>
      </c>
      <c r="J58" s="214" t="s">
        <v>317</v>
      </c>
      <c r="K58" s="216">
        <v>10422634</v>
      </c>
      <c r="L58" s="216">
        <v>5211317</v>
      </c>
      <c r="M58" s="237">
        <f t="shared" si="5"/>
        <v>5211317</v>
      </c>
      <c r="N58" s="217">
        <v>0.5</v>
      </c>
      <c r="O58" s="322"/>
      <c r="P58" s="322"/>
      <c r="Q58" s="318"/>
      <c r="R58" s="318">
        <v>5211317</v>
      </c>
      <c r="S58" s="318"/>
      <c r="T58" s="318"/>
      <c r="U58" s="318"/>
      <c r="V58" s="318"/>
      <c r="W58" s="318"/>
      <c r="X58" s="402"/>
      <c r="Y58" s="167" t="b">
        <f t="shared" si="6"/>
        <v>1</v>
      </c>
      <c r="Z58" s="185">
        <f t="shared" si="7"/>
        <v>0.5</v>
      </c>
      <c r="AA58" s="186" t="b">
        <f t="shared" si="8"/>
        <v>1</v>
      </c>
      <c r="AB58" s="186" t="b">
        <f t="shared" si="9"/>
        <v>1</v>
      </c>
      <c r="AC58" s="392"/>
      <c r="AD58" s="392"/>
      <c r="AE58" s="393"/>
      <c r="AF58" s="392"/>
      <c r="AG58" s="392"/>
      <c r="AH58" s="392"/>
      <c r="AI58" s="392"/>
    </row>
    <row r="59" spans="1:35" s="401" customFormat="1" ht="12.75">
      <c r="A59" s="175">
        <v>57</v>
      </c>
      <c r="B59" s="175" t="s">
        <v>747</v>
      </c>
      <c r="C59" s="304" t="s">
        <v>110</v>
      </c>
      <c r="D59" s="204" t="s">
        <v>748</v>
      </c>
      <c r="E59" s="178" t="s">
        <v>277</v>
      </c>
      <c r="F59" s="174" t="s">
        <v>228</v>
      </c>
      <c r="G59" s="177" t="s">
        <v>749</v>
      </c>
      <c r="H59" s="174" t="s">
        <v>42</v>
      </c>
      <c r="I59" s="198">
        <v>1.041</v>
      </c>
      <c r="J59" s="199" t="s">
        <v>170</v>
      </c>
      <c r="K59" s="179">
        <v>7095580</v>
      </c>
      <c r="L59" s="179">
        <v>3547790</v>
      </c>
      <c r="M59" s="180">
        <f t="shared" si="5"/>
        <v>3547790</v>
      </c>
      <c r="N59" s="181">
        <v>0.5</v>
      </c>
      <c r="O59" s="315"/>
      <c r="P59" s="315"/>
      <c r="Q59" s="316"/>
      <c r="R59" s="316">
        <v>1773895</v>
      </c>
      <c r="S59" s="316">
        <v>1773895</v>
      </c>
      <c r="T59" s="316"/>
      <c r="U59" s="316"/>
      <c r="V59" s="316"/>
      <c r="W59" s="316"/>
      <c r="X59" s="397"/>
      <c r="Y59" s="167" t="b">
        <f t="shared" si="6"/>
        <v>1</v>
      </c>
      <c r="Z59" s="185">
        <f t="shared" si="7"/>
        <v>0.5</v>
      </c>
      <c r="AA59" s="186" t="b">
        <f t="shared" si="8"/>
        <v>1</v>
      </c>
      <c r="AB59" s="186" t="b">
        <f t="shared" si="9"/>
        <v>1</v>
      </c>
      <c r="AC59" s="398"/>
      <c r="AD59" s="398"/>
      <c r="AE59" s="399"/>
      <c r="AF59" s="398"/>
      <c r="AG59" s="398"/>
      <c r="AH59" s="398"/>
      <c r="AI59" s="398"/>
    </row>
    <row r="60" spans="1:35" s="395" customFormat="1" ht="12.75">
      <c r="A60" s="211">
        <v>58</v>
      </c>
      <c r="B60" s="211" t="s">
        <v>750</v>
      </c>
      <c r="C60" s="211" t="s">
        <v>117</v>
      </c>
      <c r="D60" s="210" t="s">
        <v>751</v>
      </c>
      <c r="E60" s="375" t="s">
        <v>752</v>
      </c>
      <c r="F60" s="206" t="s">
        <v>228</v>
      </c>
      <c r="G60" s="224" t="s">
        <v>753</v>
      </c>
      <c r="H60" s="206" t="s">
        <v>59</v>
      </c>
      <c r="I60" s="321">
        <v>0.58</v>
      </c>
      <c r="J60" s="214" t="s">
        <v>337</v>
      </c>
      <c r="K60" s="216">
        <v>5428388</v>
      </c>
      <c r="L60" s="216">
        <v>2714194</v>
      </c>
      <c r="M60" s="237">
        <f t="shared" si="5"/>
        <v>2714194</v>
      </c>
      <c r="N60" s="217">
        <v>0.5</v>
      </c>
      <c r="O60" s="322"/>
      <c r="P60" s="322"/>
      <c r="Q60" s="318"/>
      <c r="R60" s="318">
        <v>2714194</v>
      </c>
      <c r="S60" s="318"/>
      <c r="T60" s="318"/>
      <c r="U60" s="318"/>
      <c r="V60" s="318"/>
      <c r="W60" s="318"/>
      <c r="X60" s="402"/>
      <c r="Y60" s="167" t="b">
        <f t="shared" si="6"/>
        <v>1</v>
      </c>
      <c r="Z60" s="185">
        <f t="shared" si="7"/>
        <v>0.5</v>
      </c>
      <c r="AA60" s="186" t="b">
        <f t="shared" si="8"/>
        <v>1</v>
      </c>
      <c r="AB60" s="186" t="b">
        <f t="shared" si="9"/>
        <v>1</v>
      </c>
      <c r="AC60" s="392"/>
      <c r="AD60" s="392"/>
      <c r="AE60" s="393"/>
      <c r="AF60" s="392"/>
      <c r="AG60" s="392"/>
      <c r="AH60" s="392"/>
      <c r="AI60" s="392"/>
    </row>
    <row r="61" spans="1:35" s="401" customFormat="1" ht="12.75">
      <c r="A61" s="175">
        <v>59</v>
      </c>
      <c r="B61" s="175" t="s">
        <v>754</v>
      </c>
      <c r="C61" s="304" t="s">
        <v>110</v>
      </c>
      <c r="D61" s="204" t="s">
        <v>748</v>
      </c>
      <c r="E61" s="178" t="s">
        <v>277</v>
      </c>
      <c r="F61" s="174" t="s">
        <v>228</v>
      </c>
      <c r="G61" s="177" t="s">
        <v>755</v>
      </c>
      <c r="H61" s="174" t="s">
        <v>42</v>
      </c>
      <c r="I61" s="198">
        <v>0.705</v>
      </c>
      <c r="J61" s="199" t="s">
        <v>479</v>
      </c>
      <c r="K61" s="179">
        <v>7062202</v>
      </c>
      <c r="L61" s="179">
        <v>3531101</v>
      </c>
      <c r="M61" s="180">
        <f t="shared" si="5"/>
        <v>3531101</v>
      </c>
      <c r="N61" s="181">
        <v>0.5</v>
      </c>
      <c r="O61" s="315"/>
      <c r="P61" s="315"/>
      <c r="Q61" s="316"/>
      <c r="R61" s="316">
        <v>1765550.5</v>
      </c>
      <c r="S61" s="316">
        <v>1765550.5</v>
      </c>
      <c r="T61" s="316"/>
      <c r="U61" s="316"/>
      <c r="V61" s="316"/>
      <c r="W61" s="316"/>
      <c r="X61" s="397"/>
      <c r="Y61" s="167" t="b">
        <f t="shared" si="6"/>
        <v>1</v>
      </c>
      <c r="Z61" s="185">
        <f t="shared" si="7"/>
        <v>0.5</v>
      </c>
      <c r="AA61" s="186" t="b">
        <f t="shared" si="8"/>
        <v>1</v>
      </c>
      <c r="AB61" s="186" t="b">
        <f t="shared" si="9"/>
        <v>1</v>
      </c>
      <c r="AC61" s="398"/>
      <c r="AD61" s="398"/>
      <c r="AE61" s="399"/>
      <c r="AF61" s="398"/>
      <c r="AG61" s="398"/>
      <c r="AH61" s="398"/>
      <c r="AI61" s="398"/>
    </row>
    <row r="62" spans="1:35" s="395" customFormat="1" ht="12.75">
      <c r="A62" s="211">
        <v>60</v>
      </c>
      <c r="B62" s="211" t="s">
        <v>756</v>
      </c>
      <c r="C62" s="211" t="s">
        <v>117</v>
      </c>
      <c r="D62" s="210" t="s">
        <v>578</v>
      </c>
      <c r="E62" s="375" t="s">
        <v>579</v>
      </c>
      <c r="F62" s="206" t="s">
        <v>411</v>
      </c>
      <c r="G62" s="224" t="s">
        <v>757</v>
      </c>
      <c r="H62" s="206" t="s">
        <v>42</v>
      </c>
      <c r="I62" s="321">
        <v>0.902</v>
      </c>
      <c r="J62" s="214" t="s">
        <v>369</v>
      </c>
      <c r="K62" s="216">
        <v>1186016</v>
      </c>
      <c r="L62" s="216">
        <v>593008</v>
      </c>
      <c r="M62" s="237">
        <f t="shared" si="5"/>
        <v>593008</v>
      </c>
      <c r="N62" s="217">
        <v>0.5</v>
      </c>
      <c r="O62" s="322"/>
      <c r="P62" s="322"/>
      <c r="Q62" s="318"/>
      <c r="R62" s="318">
        <v>593008</v>
      </c>
      <c r="S62" s="318"/>
      <c r="T62" s="318"/>
      <c r="U62" s="318"/>
      <c r="V62" s="318"/>
      <c r="W62" s="318"/>
      <c r="X62" s="402"/>
      <c r="Y62" s="167" t="b">
        <f t="shared" si="6"/>
        <v>1</v>
      </c>
      <c r="Z62" s="185">
        <f t="shared" si="7"/>
        <v>0.5</v>
      </c>
      <c r="AA62" s="186" t="b">
        <f t="shared" si="8"/>
        <v>1</v>
      </c>
      <c r="AB62" s="186" t="b">
        <f t="shared" si="9"/>
        <v>1</v>
      </c>
      <c r="AC62" s="392"/>
      <c r="AD62" s="392"/>
      <c r="AE62" s="393"/>
      <c r="AF62" s="392"/>
      <c r="AG62" s="392"/>
      <c r="AH62" s="392"/>
      <c r="AI62" s="392"/>
    </row>
    <row r="63" spans="1:35" s="401" customFormat="1" ht="12.75">
      <c r="A63" s="175">
        <v>61</v>
      </c>
      <c r="B63" s="175" t="s">
        <v>758</v>
      </c>
      <c r="C63" s="304" t="s">
        <v>110</v>
      </c>
      <c r="D63" s="204" t="s">
        <v>248</v>
      </c>
      <c r="E63" s="178" t="s">
        <v>249</v>
      </c>
      <c r="F63" s="174" t="s">
        <v>250</v>
      </c>
      <c r="G63" s="177" t="s">
        <v>759</v>
      </c>
      <c r="H63" s="174" t="s">
        <v>59</v>
      </c>
      <c r="I63" s="198">
        <v>0.466</v>
      </c>
      <c r="J63" s="199" t="s">
        <v>559</v>
      </c>
      <c r="K63" s="179">
        <v>5218671</v>
      </c>
      <c r="L63" s="179">
        <v>2609335.5</v>
      </c>
      <c r="M63" s="180">
        <f t="shared" si="5"/>
        <v>2609335.5</v>
      </c>
      <c r="N63" s="181">
        <v>0.5</v>
      </c>
      <c r="O63" s="315"/>
      <c r="P63" s="315"/>
      <c r="Q63" s="316"/>
      <c r="R63" s="316">
        <v>1894034.5</v>
      </c>
      <c r="S63" s="316">
        <v>715301</v>
      </c>
      <c r="T63" s="316"/>
      <c r="U63" s="316"/>
      <c r="V63" s="316"/>
      <c r="W63" s="316"/>
      <c r="X63" s="397"/>
      <c r="Y63" s="167" t="b">
        <f t="shared" si="6"/>
        <v>1</v>
      </c>
      <c r="Z63" s="185">
        <f t="shared" si="7"/>
        <v>0.5</v>
      </c>
      <c r="AA63" s="186" t="b">
        <f t="shared" si="8"/>
        <v>1</v>
      </c>
      <c r="AB63" s="186" t="b">
        <f t="shared" si="9"/>
        <v>1</v>
      </c>
      <c r="AC63" s="398"/>
      <c r="AD63" s="398"/>
      <c r="AE63" s="399"/>
      <c r="AF63" s="398"/>
      <c r="AG63" s="398"/>
      <c r="AH63" s="398"/>
      <c r="AI63" s="398"/>
    </row>
    <row r="64" spans="1:35" s="401" customFormat="1" ht="12.75">
      <c r="A64" s="175">
        <v>62</v>
      </c>
      <c r="B64" s="175" t="s">
        <v>760</v>
      </c>
      <c r="C64" s="304" t="s">
        <v>110</v>
      </c>
      <c r="D64" s="204" t="s">
        <v>761</v>
      </c>
      <c r="E64" s="178" t="s">
        <v>601</v>
      </c>
      <c r="F64" s="174" t="s">
        <v>228</v>
      </c>
      <c r="G64" s="177" t="s">
        <v>762</v>
      </c>
      <c r="H64" s="174" t="s">
        <v>59</v>
      </c>
      <c r="I64" s="198">
        <v>1.8</v>
      </c>
      <c r="J64" s="199" t="s">
        <v>763</v>
      </c>
      <c r="K64" s="179">
        <v>10000000</v>
      </c>
      <c r="L64" s="179">
        <v>5000000</v>
      </c>
      <c r="M64" s="180">
        <f t="shared" si="5"/>
        <v>5000000</v>
      </c>
      <c r="N64" s="181">
        <v>0.5</v>
      </c>
      <c r="O64" s="315"/>
      <c r="P64" s="315"/>
      <c r="Q64" s="316"/>
      <c r="R64" s="316">
        <v>50000</v>
      </c>
      <c r="S64" s="316">
        <v>100000</v>
      </c>
      <c r="T64" s="316">
        <v>2425000</v>
      </c>
      <c r="U64" s="316">
        <v>2425000</v>
      </c>
      <c r="V64" s="316"/>
      <c r="W64" s="316"/>
      <c r="X64" s="397"/>
      <c r="Y64" s="167" t="b">
        <f t="shared" si="6"/>
        <v>1</v>
      </c>
      <c r="Z64" s="185">
        <f t="shared" si="7"/>
        <v>0.5</v>
      </c>
      <c r="AA64" s="186" t="b">
        <f t="shared" si="8"/>
        <v>1</v>
      </c>
      <c r="AB64" s="186" t="b">
        <f t="shared" si="9"/>
        <v>1</v>
      </c>
      <c r="AC64" s="398"/>
      <c r="AD64" s="398"/>
      <c r="AE64" s="399"/>
      <c r="AF64" s="398"/>
      <c r="AG64" s="398"/>
      <c r="AH64" s="398"/>
      <c r="AI64" s="398"/>
    </row>
    <row r="65" spans="1:35" s="395" customFormat="1" ht="12.75">
      <c r="A65" s="211">
        <v>63</v>
      </c>
      <c r="B65" s="211" t="s">
        <v>764</v>
      </c>
      <c r="C65" s="211" t="s">
        <v>117</v>
      </c>
      <c r="D65" s="210" t="s">
        <v>751</v>
      </c>
      <c r="E65" s="375">
        <v>2401062</v>
      </c>
      <c r="F65" s="206" t="s">
        <v>228</v>
      </c>
      <c r="G65" s="224" t="s">
        <v>765</v>
      </c>
      <c r="H65" s="206" t="s">
        <v>87</v>
      </c>
      <c r="I65" s="321">
        <v>0.415</v>
      </c>
      <c r="J65" s="214" t="s">
        <v>766</v>
      </c>
      <c r="K65" s="216">
        <v>708250</v>
      </c>
      <c r="L65" s="216">
        <v>354125</v>
      </c>
      <c r="M65" s="237">
        <f t="shared" si="5"/>
        <v>354125</v>
      </c>
      <c r="N65" s="217">
        <v>0.5</v>
      </c>
      <c r="O65" s="322"/>
      <c r="P65" s="322"/>
      <c r="Q65" s="318"/>
      <c r="R65" s="318">
        <v>354125</v>
      </c>
      <c r="S65" s="318"/>
      <c r="T65" s="318"/>
      <c r="U65" s="318"/>
      <c r="V65" s="318"/>
      <c r="W65" s="318"/>
      <c r="X65" s="402"/>
      <c r="Y65" s="167" t="b">
        <f t="shared" si="6"/>
        <v>1</v>
      </c>
      <c r="Z65" s="185">
        <f t="shared" si="7"/>
        <v>0.5</v>
      </c>
      <c r="AA65" s="186" t="b">
        <f t="shared" si="8"/>
        <v>1</v>
      </c>
      <c r="AB65" s="186" t="b">
        <f t="shared" si="9"/>
        <v>1</v>
      </c>
      <c r="AC65" s="392"/>
      <c r="AD65" s="392"/>
      <c r="AE65" s="393"/>
      <c r="AF65" s="392"/>
      <c r="AG65" s="392"/>
      <c r="AH65" s="392"/>
      <c r="AI65" s="392"/>
    </row>
    <row r="66" spans="1:28" s="404" customFormat="1" ht="19.5" customHeight="1">
      <c r="A66" s="165" t="s">
        <v>177</v>
      </c>
      <c r="B66" s="165"/>
      <c r="C66" s="165"/>
      <c r="D66" s="165"/>
      <c r="E66" s="165"/>
      <c r="F66" s="165"/>
      <c r="G66" s="165"/>
      <c r="H66" s="165"/>
      <c r="I66" s="241">
        <f>SUM(I3:I65)</f>
        <v>53.32399999999999</v>
      </c>
      <c r="J66" s="165" t="s">
        <v>178</v>
      </c>
      <c r="K66" s="237">
        <f>SUM(K3:K65)</f>
        <v>235717489</v>
      </c>
      <c r="L66" s="403">
        <f>SUM(L3:L65)</f>
        <v>118303357.14999999</v>
      </c>
      <c r="M66" s="403">
        <f>SUM(M3:M65)</f>
        <v>117414131.85000001</v>
      </c>
      <c r="N66" s="242" t="s">
        <v>178</v>
      </c>
      <c r="O66" s="237">
        <f aca="true" t="shared" si="10" ref="O66:X66">SUM(O3:O65)</f>
        <v>0</v>
      </c>
      <c r="P66" s="237">
        <f t="shared" si="10"/>
        <v>0</v>
      </c>
      <c r="Q66" s="237">
        <f t="shared" si="10"/>
        <v>0</v>
      </c>
      <c r="R66" s="237">
        <f t="shared" si="10"/>
        <v>76054263.15</v>
      </c>
      <c r="S66" s="237">
        <f t="shared" si="10"/>
        <v>33533423.5</v>
      </c>
      <c r="T66" s="237">
        <f t="shared" si="10"/>
        <v>6290670.5</v>
      </c>
      <c r="U66" s="237">
        <f t="shared" si="10"/>
        <v>2425000</v>
      </c>
      <c r="V66" s="237">
        <f t="shared" si="10"/>
        <v>0</v>
      </c>
      <c r="W66" s="237">
        <f t="shared" si="10"/>
        <v>0</v>
      </c>
      <c r="X66" s="237">
        <f t="shared" si="10"/>
        <v>0</v>
      </c>
      <c r="Y66" s="167" t="b">
        <f t="shared" si="6"/>
        <v>1</v>
      </c>
      <c r="Z66" s="185">
        <f t="shared" si="7"/>
        <v>0.5019</v>
      </c>
      <c r="AA66" s="186"/>
      <c r="AB66" s="186" t="b">
        <f t="shared" si="9"/>
        <v>1</v>
      </c>
    </row>
    <row r="67" spans="1:28" s="404" customFormat="1" ht="19.5" customHeight="1">
      <c r="A67" s="165" t="s">
        <v>13</v>
      </c>
      <c r="B67" s="165"/>
      <c r="C67" s="165"/>
      <c r="D67" s="165"/>
      <c r="E67" s="165"/>
      <c r="F67" s="165"/>
      <c r="G67" s="165"/>
      <c r="H67" s="165"/>
      <c r="I67" s="241">
        <f>SUMIF($C$3:$C$65,"N",I3:I65)</f>
        <v>26.44899999999999</v>
      </c>
      <c r="J67" s="165" t="s">
        <v>178</v>
      </c>
      <c r="K67" s="237">
        <f>SUMIF($C$3:$C$65,"N",K3:K65)</f>
        <v>100756793</v>
      </c>
      <c r="L67" s="403">
        <f>SUMIF($C$3:$C$65,"N",L3:L65)</f>
        <v>50823009.15</v>
      </c>
      <c r="M67" s="403">
        <f>SUMIF($C$3:$C$65,"N",M3:M65)</f>
        <v>49933783.85</v>
      </c>
      <c r="N67" s="242" t="s">
        <v>178</v>
      </c>
      <c r="O67" s="237">
        <f aca="true" t="shared" si="11" ref="O67:X67">SUMIF($C$3:$C$65,"N",O3:O65)</f>
        <v>0</v>
      </c>
      <c r="P67" s="237">
        <f t="shared" si="11"/>
        <v>0</v>
      </c>
      <c r="Q67" s="237">
        <f t="shared" si="11"/>
        <v>0</v>
      </c>
      <c r="R67" s="237">
        <f t="shared" si="11"/>
        <v>50823009.15</v>
      </c>
      <c r="S67" s="237">
        <f t="shared" si="11"/>
        <v>0</v>
      </c>
      <c r="T67" s="237">
        <f t="shared" si="11"/>
        <v>0</v>
      </c>
      <c r="U67" s="237">
        <f t="shared" si="11"/>
        <v>0</v>
      </c>
      <c r="V67" s="237">
        <f t="shared" si="11"/>
        <v>0</v>
      </c>
      <c r="W67" s="237">
        <f t="shared" si="11"/>
        <v>0</v>
      </c>
      <c r="X67" s="237">
        <f t="shared" si="11"/>
        <v>0</v>
      </c>
      <c r="Y67" s="167" t="b">
        <f>L67=SUM(O67:X67)</f>
        <v>1</v>
      </c>
      <c r="Z67" s="185">
        <f t="shared" si="7"/>
        <v>0.5044</v>
      </c>
      <c r="AA67" s="186"/>
      <c r="AB67" s="186" t="b">
        <f t="shared" si="9"/>
        <v>1</v>
      </c>
    </row>
    <row r="68" spans="1:28" s="404" customFormat="1" ht="19.5" customHeight="1">
      <c r="A68" s="165" t="s">
        <v>14</v>
      </c>
      <c r="B68" s="165"/>
      <c r="C68" s="165"/>
      <c r="D68" s="165"/>
      <c r="E68" s="165"/>
      <c r="F68" s="165"/>
      <c r="G68" s="165"/>
      <c r="H68" s="165"/>
      <c r="I68" s="241">
        <f>SUMIF($C$3:$C$65,"W",I3:I65)</f>
        <v>26.875</v>
      </c>
      <c r="J68" s="165" t="s">
        <v>178</v>
      </c>
      <c r="K68" s="237">
        <f>SUMIF($C$3:$C$65,"W",K3:K65)</f>
        <v>134960696</v>
      </c>
      <c r="L68" s="403">
        <f>SUMIF($C$3:$C$65,"W",L3:L65)</f>
        <v>67480348</v>
      </c>
      <c r="M68" s="403">
        <f>SUMIF($C$3:$C$65,"W",M3:M65)</f>
        <v>67480348</v>
      </c>
      <c r="N68" s="242" t="s">
        <v>178</v>
      </c>
      <c r="O68" s="237">
        <f aca="true" t="shared" si="12" ref="O68:X68">SUMIF($C$3:$C$65,"W",O3:O65)</f>
        <v>0</v>
      </c>
      <c r="P68" s="237">
        <f t="shared" si="12"/>
        <v>0</v>
      </c>
      <c r="Q68" s="237">
        <f t="shared" si="12"/>
        <v>0</v>
      </c>
      <c r="R68" s="237">
        <f t="shared" si="12"/>
        <v>25231254</v>
      </c>
      <c r="S68" s="237">
        <f t="shared" si="12"/>
        <v>33533423.5</v>
      </c>
      <c r="T68" s="237">
        <f t="shared" si="12"/>
        <v>6290670.5</v>
      </c>
      <c r="U68" s="237">
        <f t="shared" si="12"/>
        <v>2425000</v>
      </c>
      <c r="V68" s="237">
        <f t="shared" si="12"/>
        <v>0</v>
      </c>
      <c r="W68" s="237">
        <f t="shared" si="12"/>
        <v>0</v>
      </c>
      <c r="X68" s="237">
        <f t="shared" si="12"/>
        <v>0</v>
      </c>
      <c r="Y68" s="167" t="b">
        <f>L68=SUM(O68:X68)</f>
        <v>1</v>
      </c>
      <c r="Z68" s="185">
        <f t="shared" si="7"/>
        <v>0.5</v>
      </c>
      <c r="AA68" s="186"/>
      <c r="AB68" s="186" t="b">
        <f t="shared" si="9"/>
        <v>1</v>
      </c>
    </row>
    <row r="69" spans="11:28" s="337" customFormat="1" ht="13.5" customHeight="1">
      <c r="K69" s="405"/>
      <c r="M69" s="406"/>
      <c r="Y69" s="384"/>
      <c r="Z69" s="384"/>
      <c r="AA69" s="384"/>
      <c r="AB69" s="384"/>
    </row>
    <row r="70" spans="1:28" ht="20.25" customHeight="1">
      <c r="A70" s="407" t="s">
        <v>180</v>
      </c>
      <c r="B70" s="407"/>
      <c r="C70" s="407"/>
      <c r="D70" s="407"/>
      <c r="E70" s="223"/>
      <c r="F70" s="231"/>
      <c r="G70" s="223"/>
      <c r="H70" s="223"/>
      <c r="I70" s="223"/>
      <c r="J70" s="231"/>
      <c r="K70" s="408"/>
      <c r="L70" s="223"/>
      <c r="M70" s="409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167"/>
      <c r="Z70" s="167"/>
      <c r="AA70" s="167"/>
      <c r="AB70" s="186"/>
    </row>
    <row r="71" spans="1:28" ht="12" customHeight="1">
      <c r="A71" s="407" t="s">
        <v>179</v>
      </c>
      <c r="B71" s="407"/>
      <c r="C71" s="407"/>
      <c r="D71" s="407"/>
      <c r="E71" s="223"/>
      <c r="F71" s="231"/>
      <c r="G71" s="223"/>
      <c r="H71" s="223"/>
      <c r="I71" s="223"/>
      <c r="J71" s="231"/>
      <c r="K71" s="408"/>
      <c r="L71" s="410"/>
      <c r="M71" s="409"/>
      <c r="N71" s="231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167"/>
      <c r="Z71" s="167"/>
      <c r="AA71" s="167"/>
      <c r="AB71" s="186"/>
    </row>
    <row r="72" spans="1:28" ht="12.75" customHeight="1">
      <c r="A72" s="407" t="s">
        <v>560</v>
      </c>
      <c r="B72" s="407"/>
      <c r="C72" s="407"/>
      <c r="D72" s="223"/>
      <c r="E72" s="223"/>
      <c r="F72" s="231"/>
      <c r="G72" s="223"/>
      <c r="H72" s="223"/>
      <c r="I72" s="223"/>
      <c r="J72" s="231"/>
      <c r="K72" s="408"/>
      <c r="L72" s="223"/>
      <c r="M72" s="409"/>
      <c r="N72" s="231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167"/>
      <c r="Z72" s="167"/>
      <c r="AA72" s="167"/>
      <c r="AB72" s="186"/>
    </row>
    <row r="73" spans="1:28" ht="12.75" customHeight="1">
      <c r="A73" s="411"/>
      <c r="B73" s="223"/>
      <c r="C73" s="223"/>
      <c r="D73" s="223"/>
      <c r="E73" s="223"/>
      <c r="F73" s="231"/>
      <c r="G73" s="223"/>
      <c r="H73" s="223"/>
      <c r="I73" s="223"/>
      <c r="J73" s="231"/>
      <c r="K73" s="408"/>
      <c r="L73" s="223"/>
      <c r="M73" s="409"/>
      <c r="N73" s="231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167"/>
      <c r="Z73" s="167"/>
      <c r="AA73" s="167"/>
      <c r="AB73" s="167"/>
    </row>
    <row r="74" ht="12.75">
      <c r="A74" s="256"/>
    </row>
  </sheetData>
  <sheetProtection selectLockedCells="1" selectUnlockedCells="1"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X1"/>
    <mergeCell ref="A66:H66"/>
    <mergeCell ref="A67:H67"/>
    <mergeCell ref="A68:H68"/>
    <mergeCell ref="A70:D70"/>
    <mergeCell ref="A71:D71"/>
    <mergeCell ref="A72:C72"/>
  </mergeCells>
  <conditionalFormatting sqref="AA3:AB68 AB2:AB68 AB70:AB72">
    <cfRule type="expression" priority="1" dxfId="0" stopIfTrue="1">
      <formula>NOT(ISERROR(SEARCH("fałsz",AA2)))</formula>
    </cfRule>
  </conditionalFormatting>
  <conditionalFormatting sqref="A69:J69 L69 N69:X69 AC69:IV69">
    <cfRule type="expression" priority="2" dxfId="0" stopIfTrue="1">
      <formula>NOT(ISERROR(SEARCH("fałsz",A69)))</formula>
    </cfRule>
  </conditionalFormatting>
  <printOptions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8"/>
  <headerFooter alignWithMargins="0">
    <oddHeader>&amp;LWojewództwo 000000śląskie01+000 - zadania gminne lista rezerwowa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Łapińska Aleksandra</cp:lastModifiedBy>
  <cp:lastPrinted>2021-12-20T11:06:42Z</cp:lastPrinted>
  <dcterms:created xsi:type="dcterms:W3CDTF">2019-02-25T10:53:14Z</dcterms:created>
  <dcterms:modified xsi:type="dcterms:W3CDTF">2022-02-15T10:11:37Z</dcterms:modified>
  <cp:category/>
  <cp:version/>
  <cp:contentType/>
  <cp:contentStatus/>
</cp:coreProperties>
</file>